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Global Affairs\@Public\SISS\Student Team\Creating I-20s or DS-2019s\"/>
    </mc:Choice>
  </mc:AlternateContent>
  <bookViews>
    <workbookView xWindow="0" yWindow="0" windowWidth="23040" windowHeight="8820"/>
  </bookViews>
  <sheets>
    <sheet name="ExtensionCalculator" sheetId="2" r:id="rId1"/>
  </sheets>
  <definedNames>
    <definedName name="DEP">ExtensionCalculator!$V$26:$V$31</definedName>
    <definedName name="EAP">ExtensionCalculator!$R$26:$R$27</definedName>
    <definedName name="MED">ExtensionCalculator!$S$26:$S$27</definedName>
    <definedName name="MPVM">ExtensionCalculator!$I$44:$I$47</definedName>
    <definedName name="NURSE">ExtensionCalculator!$T$26:$T$27</definedName>
    <definedName name="_xlnm.Print_Area" localSheetId="0">ExtensionCalculator!$B$2:$G$39</definedName>
    <definedName name="Sessions">ExtensionCalculator!$I$35:$I$40</definedName>
    <definedName name="SUMMER">ExtensionCalculator!$U$26:$U$28</definedName>
    <definedName name="YN">ExtensionCalculator!$Q$26:$Q$27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0" i="2"/>
  <c r="M19" i="2" l="1"/>
  <c r="S34" i="2" l="1"/>
  <c r="O28" i="2"/>
  <c r="J47" i="2"/>
  <c r="K47" i="2"/>
  <c r="K46" i="2"/>
  <c r="K45" i="2"/>
  <c r="S16" i="2"/>
  <c r="S15" i="2"/>
  <c r="D17" i="2" l="1"/>
  <c r="L47" i="2" l="1"/>
  <c r="L46" i="2"/>
  <c r="J46" i="2"/>
  <c r="L45" i="2"/>
  <c r="J45" i="2"/>
  <c r="N39" i="2"/>
  <c r="N38" i="2"/>
  <c r="M38" i="2"/>
  <c r="M46" i="2" l="1"/>
  <c r="K48" i="2"/>
  <c r="M45" i="2"/>
  <c r="M47" i="2"/>
  <c r="J8" i="2"/>
  <c r="M48" i="2" l="1"/>
  <c r="E32" i="2"/>
  <c r="N40" i="2"/>
  <c r="M40" i="2"/>
  <c r="L40" i="2"/>
  <c r="K40" i="2"/>
  <c r="J40" i="2"/>
  <c r="M39" i="2"/>
  <c r="L39" i="2"/>
  <c r="K39" i="2"/>
  <c r="J39" i="2"/>
  <c r="L38" i="2"/>
  <c r="K38" i="2"/>
  <c r="J38" i="2"/>
  <c r="N37" i="2"/>
  <c r="M37" i="2"/>
  <c r="L37" i="2"/>
  <c r="K37" i="2"/>
  <c r="J37" i="2"/>
  <c r="N36" i="2"/>
  <c r="M36" i="2"/>
  <c r="L36" i="2"/>
  <c r="K36" i="2"/>
  <c r="J36" i="2"/>
  <c r="S23" i="2"/>
  <c r="S22" i="2"/>
  <c r="S21" i="2"/>
  <c r="S20" i="2"/>
  <c r="S19" i="2"/>
  <c r="S18" i="2"/>
  <c r="S17" i="2"/>
  <c r="P33" i="2"/>
  <c r="O33" i="2"/>
  <c r="M33" i="2"/>
  <c r="S14" i="2"/>
  <c r="P37" i="2" l="1"/>
  <c r="P38" i="2" s="1"/>
  <c r="P36" i="2"/>
  <c r="L41" i="2"/>
  <c r="R36" i="2"/>
  <c r="O39" i="2"/>
  <c r="O38" i="2"/>
  <c r="R35" i="2"/>
  <c r="J41" i="2"/>
  <c r="O36" i="2"/>
  <c r="O37" i="2"/>
  <c r="O40" i="2"/>
  <c r="R31" i="2"/>
  <c r="R34" i="2" s="1"/>
  <c r="M28" i="2"/>
  <c r="P41" i="2" l="1"/>
  <c r="T31" i="2" s="1"/>
  <c r="D16" i="2"/>
  <c r="D18" i="2" s="1"/>
  <c r="N41" i="2"/>
  <c r="Q31" i="2" s="1"/>
  <c r="M31" i="2"/>
  <c r="J9" i="2" l="1"/>
  <c r="J10" i="2"/>
  <c r="R37" i="2"/>
  <c r="S37" i="2" s="1"/>
  <c r="U37" i="2" s="1"/>
  <c r="O34" i="2"/>
  <c r="U36" i="2" s="1"/>
  <c r="O23" i="2"/>
  <c r="O18" i="2"/>
  <c r="O17" i="2"/>
  <c r="O19" i="2"/>
  <c r="O20" i="2"/>
  <c r="O21" i="2"/>
  <c r="O22" i="2"/>
  <c r="O24" i="2"/>
  <c r="O25" i="2"/>
  <c r="O26" i="2"/>
  <c r="O27" i="2"/>
  <c r="O29" i="2"/>
  <c r="O30" i="2"/>
  <c r="O16" i="2"/>
  <c r="T34" i="2" s="1"/>
  <c r="O15" i="2"/>
  <c r="O31" i="2" s="1"/>
  <c r="P31" i="2" s="1"/>
  <c r="M16" i="2"/>
  <c r="S31" i="2" s="1"/>
  <c r="U31" i="2" s="1"/>
  <c r="M17" i="2"/>
  <c r="M18" i="2"/>
  <c r="M20" i="2"/>
  <c r="M21" i="2"/>
  <c r="M22" i="2"/>
  <c r="M23" i="2"/>
  <c r="M24" i="2"/>
  <c r="M25" i="2"/>
  <c r="M26" i="2"/>
  <c r="M27" i="2"/>
  <c r="M29" i="2"/>
  <c r="M30" i="2"/>
  <c r="M15" i="2"/>
  <c r="C14" i="2"/>
  <c r="C12" i="2"/>
  <c r="P20" i="2"/>
  <c r="R38" i="2" l="1"/>
  <c r="C10" i="2"/>
  <c r="C8" i="2"/>
  <c r="U34" i="2" l="1"/>
  <c r="E23" i="2" s="1"/>
  <c r="U38" i="2"/>
  <c r="U39" i="2" s="1"/>
  <c r="E24" i="2" s="1"/>
  <c r="E22" i="2"/>
  <c r="E25" i="2" l="1"/>
  <c r="D33" i="2" s="1"/>
  <c r="E33" i="2" l="1"/>
</calcChain>
</file>

<file path=xl/sharedStrings.xml><?xml version="1.0" encoding="utf-8"?>
<sst xmlns="http://schemas.openxmlformats.org/spreadsheetml/2006/main" count="168" uniqueCount="131">
  <si>
    <t>*</t>
  </si>
  <si>
    <t>Program Information</t>
  </si>
  <si>
    <t>Financial Amount</t>
  </si>
  <si>
    <t>Tuition</t>
  </si>
  <si>
    <t>Total per year</t>
  </si>
  <si>
    <t>Bachelors Degree</t>
  </si>
  <si>
    <t>Master Degree</t>
  </si>
  <si>
    <t>Doctoral Degree</t>
  </si>
  <si>
    <t>Filing Fee</t>
  </si>
  <si>
    <t>EAP Grad</t>
  </si>
  <si>
    <t>EAP Exchange</t>
  </si>
  <si>
    <t>Undergraduate</t>
  </si>
  <si>
    <t>EAP UG</t>
  </si>
  <si>
    <t>MBA</t>
  </si>
  <si>
    <t>Medicine</t>
  </si>
  <si>
    <t>In-State</t>
  </si>
  <si>
    <t>MPAc</t>
  </si>
  <si>
    <t>MPH</t>
  </si>
  <si>
    <t xml:space="preserve">MPVM </t>
  </si>
  <si>
    <t xml:space="preserve">MBA Exchange </t>
  </si>
  <si>
    <t>Nursing</t>
  </si>
  <si>
    <t>Nursing MS</t>
  </si>
  <si>
    <t>Nursing PhD</t>
  </si>
  <si>
    <t>Medicine 36</t>
  </si>
  <si>
    <t>Medicine 48</t>
  </si>
  <si>
    <t>MPAc Prog. (12 months)</t>
  </si>
  <si>
    <t>Dependent</t>
  </si>
  <si>
    <t>Drop Down Menu</t>
  </si>
  <si>
    <t>Number of Dependents</t>
  </si>
  <si>
    <t>Choose Educational Level</t>
  </si>
  <si>
    <t>Yes</t>
  </si>
  <si>
    <t>No</t>
  </si>
  <si>
    <t>Current Term End Date</t>
  </si>
  <si>
    <t>Fall</t>
  </si>
  <si>
    <t>Winter</t>
  </si>
  <si>
    <t>Spring</t>
  </si>
  <si>
    <t>Summer Session I</t>
  </si>
  <si>
    <t>Summer Session II</t>
  </si>
  <si>
    <t>Per Term Tuition</t>
  </si>
  <si>
    <t>Per Term Expenses</t>
  </si>
  <si>
    <t>Maximum length of extension is one calendar year at a time</t>
  </si>
  <si>
    <t>Summmer Session</t>
  </si>
  <si>
    <t>Summer I</t>
  </si>
  <si>
    <t>Summer II</t>
  </si>
  <si>
    <t>Advanced to Candidacy?</t>
  </si>
  <si>
    <t>MBA Exchange?</t>
  </si>
  <si>
    <t>Tuition Type</t>
  </si>
  <si>
    <t>EAP</t>
  </si>
  <si>
    <t>Graduate</t>
  </si>
  <si>
    <t>MS</t>
  </si>
  <si>
    <t>PhD</t>
  </si>
  <si>
    <t>Choose Level from Drop Down</t>
  </si>
  <si>
    <t>Part-Time Status</t>
  </si>
  <si>
    <t>Cells Referenced</t>
  </si>
  <si>
    <t>Expected Completion Term*</t>
  </si>
  <si>
    <t>36 Months</t>
  </si>
  <si>
    <t xml:space="preserve">48 Months </t>
  </si>
  <si>
    <t>Which Program Length?</t>
  </si>
  <si>
    <t>DEP</t>
  </si>
  <si>
    <t>YN</t>
  </si>
  <si>
    <t>MED</t>
  </si>
  <si>
    <t>NURSE</t>
  </si>
  <si>
    <t>SUMMER</t>
  </si>
  <si>
    <t>Which Educational Level?</t>
  </si>
  <si>
    <t>Summer Sessions</t>
  </si>
  <si>
    <t>Annual Tuition</t>
  </si>
  <si>
    <t>Annual Expenses</t>
  </si>
  <si>
    <t>Final Tuition Type</t>
  </si>
  <si>
    <t>Term</t>
  </si>
  <si>
    <t>Quarter</t>
  </si>
  <si>
    <t>Semester</t>
  </si>
  <si>
    <t>Summer Session</t>
  </si>
  <si>
    <t>Total Terms</t>
  </si>
  <si>
    <t>Subtotal</t>
  </si>
  <si>
    <t>Summer Sessions I &amp; II</t>
  </si>
  <si>
    <t>Minimum Financial Support Needed:</t>
  </si>
  <si>
    <t>Living Expenses</t>
  </si>
  <si>
    <t>Dependent Expenses</t>
  </si>
  <si>
    <t>Total</t>
  </si>
  <si>
    <t># Quarters Tuition</t>
  </si>
  <si>
    <t>Tuition Per Quarter</t>
  </si>
  <si>
    <t>Summer Tuition Needed</t>
  </si>
  <si>
    <t>Total Tuition</t>
  </si>
  <si>
    <t>Expenses Per Qtr</t>
  </si>
  <si>
    <t>Academic YR Months</t>
  </si>
  <si>
    <t>Grad Sum Exp?</t>
  </si>
  <si>
    <t>Amount to Add</t>
  </si>
  <si>
    <t>Student Liv Exp Needed</t>
  </si>
  <si>
    <t>Total Exp Per Dependent</t>
  </si>
  <si>
    <t>Dep Exp Per Term</t>
  </si>
  <si>
    <t>Dep Summer Exp</t>
  </si>
  <si>
    <t>Total Dependent Expenses</t>
  </si>
  <si>
    <t>Drop Down Displayed</t>
  </si>
  <si>
    <t>Enter Your Funding:</t>
  </si>
  <si>
    <t>Personal Funds</t>
  </si>
  <si>
    <t>Family Sponsor</t>
  </si>
  <si>
    <t>Department/Other Funds</t>
  </si>
  <si>
    <t>Your Total Funding</t>
  </si>
  <si>
    <t>Determine Funding Needed</t>
  </si>
  <si>
    <t>Enter information in green fields</t>
  </si>
  <si>
    <t>D15</t>
  </si>
  <si>
    <t>D16</t>
  </si>
  <si>
    <t>Final Quarter?</t>
  </si>
  <si>
    <t>Final Term?</t>
  </si>
  <si>
    <t>**Available only if approved by Graduate Studies</t>
  </si>
  <si>
    <t>Part-Time Status?**</t>
  </si>
  <si>
    <t>Filing Fee Approved?**</t>
  </si>
  <si>
    <t>MPVM</t>
  </si>
  <si>
    <t xml:space="preserve">Spring </t>
  </si>
  <si>
    <t>Summer</t>
  </si>
  <si>
    <t>Sessions</t>
  </si>
  <si>
    <t>D11&amp;D13</t>
  </si>
  <si>
    <t>Which Summer Sessions?</t>
  </si>
  <si>
    <t>Partial Sum Exp?</t>
  </si>
  <si>
    <t>Green colored boxes return a value of 1 instead of zero but are not included in the quarter count</t>
  </si>
  <si>
    <t>Any Summer Exp?</t>
  </si>
  <si>
    <t>Non-MPVM Grad?</t>
  </si>
  <si>
    <t>Summer Exp?</t>
  </si>
  <si>
    <t>Total Quarters</t>
  </si>
  <si>
    <t>Qtr Subtotal</t>
  </si>
  <si>
    <t>Term Subtotal</t>
  </si>
  <si>
    <t>UG Summer Exp?</t>
  </si>
  <si>
    <t>Graduate Summer Exp?</t>
  </si>
  <si>
    <t>You have enough funding</t>
  </si>
  <si>
    <t>**Available only if in final quarter needing less than 10 units</t>
  </si>
  <si>
    <t>Error:  Summer Session II end date requires Session II attendance</t>
  </si>
  <si>
    <t>Additional funding required</t>
  </si>
  <si>
    <t>Full/Part Summer?</t>
  </si>
  <si>
    <t>Dependent Calculator</t>
  </si>
  <si>
    <t>When adding a dependent, you must show that you have enough funds for both yourself and your dependent(s) for one calendar year.  If you will graduate in less than one year, you can pro-rate the amount.  Contact an SISS advisor for assistance if needed.</t>
  </si>
  <si>
    <t>Please submit your request via the  https://iglobal.ucdavis.edu portal with your financial documentation.
Extension amounts must be verified by an SISS advisor and will be adjusted if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</si>
</sst>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203">
    <xf numFmtId="0" fontId="0" fillId="0" borderId="0" xfId="0"/>
    <xf numFmtId="164" fontId="2" fillId="0" borderId="2" xfId="2" applyNumberFormat="1" applyFont="1" applyFill="1" applyBorder="1"/>
    <xf numFmtId="164" fontId="2" fillId="0" borderId="2" xfId="2" applyNumberFormat="1" applyFont="1" applyFill="1" applyBorder="1" applyProtection="1"/>
    <xf numFmtId="164" fontId="2" fillId="0" borderId="18" xfId="2" applyNumberFormat="1" applyFont="1" applyFill="1" applyBorder="1" applyProtection="1"/>
    <xf numFmtId="165" fontId="2" fillId="0" borderId="2" xfId="2" applyNumberFormat="1" applyFont="1" applyFill="1" applyBorder="1" applyProtection="1"/>
    <xf numFmtId="165" fontId="2" fillId="0" borderId="19" xfId="2" applyNumberFormat="1" applyFont="1" applyFill="1" applyBorder="1" applyProtection="1"/>
    <xf numFmtId="164" fontId="2" fillId="4" borderId="2" xfId="2" applyNumberFormat="1" applyFont="1" applyFill="1" applyBorder="1" applyProtection="1"/>
    <xf numFmtId="165" fontId="2" fillId="4" borderId="2" xfId="2" applyNumberFormat="1" applyFont="1" applyFill="1" applyBorder="1" applyProtection="1"/>
    <xf numFmtId="0" fontId="2" fillId="0" borderId="2" xfId="2" applyFont="1" applyFill="1" applyBorder="1" applyAlignment="1" applyProtection="1">
      <alignment horizontal="center"/>
    </xf>
    <xf numFmtId="164" fontId="2" fillId="0" borderId="19" xfId="2" applyNumberFormat="1" applyFont="1" applyFill="1" applyBorder="1"/>
    <xf numFmtId="0" fontId="4" fillId="0" borderId="2" xfId="0" applyFont="1" applyFill="1" applyBorder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2" xfId="0" applyFont="1" applyBorder="1" applyProtection="1"/>
    <xf numFmtId="0" fontId="4" fillId="0" borderId="14" xfId="0" applyFont="1" applyBorder="1" applyProtection="1"/>
    <xf numFmtId="0" fontId="4" fillId="0" borderId="12" xfId="0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/>
    <xf numFmtId="14" fontId="4" fillId="0" borderId="0" xfId="0" applyNumberFormat="1" applyFont="1" applyBorder="1" applyAlignment="1" applyProtection="1"/>
    <xf numFmtId="1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left" vertical="center"/>
    </xf>
    <xf numFmtId="0" fontId="2" fillId="2" borderId="15" xfId="2" applyFont="1" applyFill="1" applyBorder="1" applyAlignment="1" applyProtection="1">
      <alignment horizontal="left"/>
    </xf>
    <xf numFmtId="0" fontId="2" fillId="2" borderId="16" xfId="2" applyFont="1" applyFill="1" applyBorder="1" applyAlignment="1" applyProtection="1">
      <alignment horizontal="left"/>
    </xf>
    <xf numFmtId="0" fontId="2" fillId="2" borderId="17" xfId="2" applyFont="1" applyFill="1" applyBorder="1" applyProtection="1"/>
    <xf numFmtId="0" fontId="2" fillId="2" borderId="16" xfId="2" applyFont="1" applyFill="1" applyBorder="1" applyProtection="1"/>
    <xf numFmtId="0" fontId="11" fillId="0" borderId="2" xfId="0" applyFont="1" applyBorder="1" applyProtection="1"/>
    <xf numFmtId="0" fontId="4" fillId="0" borderId="0" xfId="0" applyFont="1" applyBorder="1" applyAlignment="1" applyProtection="1">
      <alignment horizontal="center"/>
    </xf>
    <xf numFmtId="0" fontId="2" fillId="0" borderId="2" xfId="2" applyFont="1" applyFill="1" applyBorder="1" applyProtection="1"/>
    <xf numFmtId="0" fontId="2" fillId="0" borderId="18" xfId="2" applyFont="1" applyFill="1" applyBorder="1" applyProtection="1"/>
    <xf numFmtId="0" fontId="2" fillId="0" borderId="18" xfId="2" applyFont="1" applyFill="1" applyBorder="1" applyAlignment="1" applyProtection="1">
      <alignment horizontal="center"/>
    </xf>
    <xf numFmtId="0" fontId="10" fillId="0" borderId="0" xfId="0" applyFont="1" applyAlignment="1" applyProtection="1">
      <alignment vertical="center"/>
    </xf>
    <xf numFmtId="164" fontId="2" fillId="0" borderId="2" xfId="2" applyNumberFormat="1" applyFont="1" applyFill="1" applyBorder="1" applyAlignment="1" applyProtection="1">
      <alignment horizontal="right"/>
    </xf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2" fillId="0" borderId="0" xfId="1" applyFont="1" applyBorder="1" applyAlignment="1" applyProtection="1">
      <alignment vertical="top"/>
    </xf>
    <xf numFmtId="0" fontId="10" fillId="0" borderId="0" xfId="1" applyFont="1" applyBorder="1" applyAlignment="1" applyProtection="1">
      <alignment wrapText="1"/>
    </xf>
    <xf numFmtId="0" fontId="9" fillId="0" borderId="0" xfId="0" applyFont="1" applyBorder="1" applyAlignment="1" applyProtection="1">
      <alignment horizontal="center"/>
    </xf>
    <xf numFmtId="0" fontId="2" fillId="7" borderId="40" xfId="2" applyNumberFormat="1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2" fillId="0" borderId="28" xfId="2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3" fillId="0" borderId="0" xfId="0" applyFont="1" applyBorder="1" applyAlignment="1" applyProtection="1">
      <alignment horizontal="right"/>
    </xf>
    <xf numFmtId="0" fontId="2" fillId="4" borderId="2" xfId="2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 vertical="top"/>
    </xf>
    <xf numFmtId="0" fontId="4" fillId="0" borderId="13" xfId="0" applyFont="1" applyBorder="1" applyProtection="1"/>
    <xf numFmtId="0" fontId="4" fillId="0" borderId="15" xfId="0" applyFont="1" applyBorder="1" applyAlignment="1" applyProtection="1">
      <alignment horizontal="center"/>
    </xf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0" fontId="11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4" fillId="9" borderId="2" xfId="0" applyFont="1" applyFill="1" applyBorder="1" applyAlignment="1" applyProtection="1">
      <alignment horizontal="center"/>
    </xf>
    <xf numFmtId="0" fontId="4" fillId="10" borderId="2" xfId="0" applyFont="1" applyFill="1" applyBorder="1" applyAlignment="1" applyProtection="1">
      <alignment horizontal="center"/>
    </xf>
    <xf numFmtId="0" fontId="4" fillId="10" borderId="15" xfId="0" applyFont="1" applyFill="1" applyBorder="1" applyAlignment="1" applyProtection="1">
      <alignment horizontal="center"/>
    </xf>
    <xf numFmtId="0" fontId="4" fillId="0" borderId="22" xfId="0" applyFont="1" applyBorder="1" applyProtection="1"/>
    <xf numFmtId="0" fontId="2" fillId="0" borderId="0" xfId="2" applyFont="1" applyFill="1" applyBorder="1" applyAlignment="1" applyProtection="1">
      <alignment horizontal="left"/>
    </xf>
    <xf numFmtId="0" fontId="11" fillId="0" borderId="0" xfId="0" applyFont="1" applyBorder="1" applyProtection="1"/>
    <xf numFmtId="0" fontId="2" fillId="0" borderId="9" xfId="0" applyFont="1" applyBorder="1" applyAlignment="1" applyProtection="1"/>
    <xf numFmtId="0" fontId="2" fillId="0" borderId="4" xfId="0" applyFont="1" applyBorder="1" applyAlignment="1" applyProtection="1"/>
    <xf numFmtId="0" fontId="3" fillId="6" borderId="34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center"/>
    </xf>
    <xf numFmtId="0" fontId="2" fillId="0" borderId="35" xfId="0" applyFont="1" applyBorder="1" applyProtection="1"/>
    <xf numFmtId="0" fontId="2" fillId="0" borderId="43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165" fontId="11" fillId="0" borderId="36" xfId="0" applyNumberFormat="1" applyFont="1" applyBorder="1" applyProtection="1"/>
    <xf numFmtId="0" fontId="2" fillId="0" borderId="33" xfId="0" applyFont="1" applyBorder="1" applyProtection="1"/>
    <xf numFmtId="164" fontId="2" fillId="0" borderId="25" xfId="0" applyNumberFormat="1" applyFont="1" applyBorder="1" applyProtection="1"/>
    <xf numFmtId="0" fontId="2" fillId="0" borderId="26" xfId="0" applyFont="1" applyBorder="1" applyAlignment="1" applyProtection="1">
      <alignment horizontal="right"/>
    </xf>
    <xf numFmtId="164" fontId="2" fillId="0" borderId="27" xfId="0" applyNumberFormat="1" applyFont="1" applyBorder="1" applyProtection="1"/>
    <xf numFmtId="0" fontId="2" fillId="0" borderId="28" xfId="0" applyFont="1" applyBorder="1" applyProtection="1"/>
    <xf numFmtId="164" fontId="2" fillId="0" borderId="30" xfId="0" applyNumberFormat="1" applyFont="1" applyBorder="1" applyProtection="1"/>
    <xf numFmtId="0" fontId="4" fillId="0" borderId="0" xfId="1" applyFont="1" applyBorder="1" applyAlignment="1" applyProtection="1">
      <alignment horizontal="right" vertical="top"/>
    </xf>
    <xf numFmtId="0" fontId="12" fillId="0" borderId="0" xfId="1" applyFont="1" applyBorder="1" applyAlignment="1" applyProtection="1">
      <alignment horizontal="right" vertical="top"/>
    </xf>
    <xf numFmtId="0" fontId="2" fillId="5" borderId="2" xfId="0" applyFont="1" applyFill="1" applyBorder="1" applyProtection="1"/>
    <xf numFmtId="0" fontId="11" fillId="5" borderId="2" xfId="0" applyFont="1" applyFill="1" applyBorder="1" applyProtection="1"/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Protection="1"/>
    <xf numFmtId="164" fontId="2" fillId="11" borderId="3" xfId="0" applyNumberFormat="1" applyFont="1" applyFill="1" applyBorder="1" applyProtection="1"/>
    <xf numFmtId="0" fontId="2" fillId="7" borderId="39" xfId="0" applyFont="1" applyFill="1" applyBorder="1" applyAlignment="1">
      <alignment horizontal="center"/>
    </xf>
    <xf numFmtId="165" fontId="2" fillId="11" borderId="21" xfId="0" applyNumberFormat="1" applyFont="1" applyFill="1" applyBorder="1" applyProtection="1"/>
    <xf numFmtId="164" fontId="4" fillId="8" borderId="15" xfId="1" applyNumberFormat="1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horizontal="right"/>
    </xf>
    <xf numFmtId="0" fontId="4" fillId="0" borderId="20" xfId="0" applyFont="1" applyBorder="1" applyProtection="1"/>
    <xf numFmtId="0" fontId="4" fillId="0" borderId="31" xfId="0" applyFont="1" applyBorder="1" applyProtection="1"/>
    <xf numFmtId="0" fontId="4" fillId="0" borderId="16" xfId="0" applyFont="1" applyBorder="1" applyProtection="1"/>
    <xf numFmtId="1" fontId="2" fillId="0" borderId="42" xfId="0" applyNumberFormat="1" applyFont="1" applyFill="1" applyBorder="1" applyAlignment="1">
      <alignment horizontal="center"/>
    </xf>
    <xf numFmtId="1" fontId="2" fillId="7" borderId="44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Protection="1"/>
    <xf numFmtId="1" fontId="6" fillId="2" borderId="3" xfId="0" applyNumberFormat="1" applyFont="1" applyFill="1" applyBorder="1" applyAlignment="1" applyProtection="1">
      <alignment horizontal="center" wrapText="1"/>
      <protection locked="0"/>
    </xf>
    <xf numFmtId="0" fontId="4" fillId="9" borderId="15" xfId="0" applyFont="1" applyFill="1" applyBorder="1" applyAlignment="1" applyProtection="1">
      <alignment horizontal="center"/>
    </xf>
    <xf numFmtId="0" fontId="4" fillId="0" borderId="21" xfId="0" applyFont="1" applyBorder="1" applyProtection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/>
    </xf>
    <xf numFmtId="0" fontId="3" fillId="6" borderId="5" xfId="0" applyFont="1" applyFill="1" applyBorder="1" applyAlignment="1">
      <alignment horizontal="center"/>
    </xf>
    <xf numFmtId="0" fontId="4" fillId="0" borderId="43" xfId="0" applyFont="1" applyBorder="1" applyAlignment="1" applyProtection="1">
      <alignment horizontal="center"/>
    </xf>
    <xf numFmtId="0" fontId="4" fillId="9" borderId="19" xfId="0" applyFont="1" applyFill="1" applyBorder="1" applyAlignment="1" applyProtection="1">
      <alignment horizontal="center"/>
    </xf>
    <xf numFmtId="0" fontId="4" fillId="9" borderId="43" xfId="0" applyFont="1" applyFill="1" applyBorder="1" applyAlignment="1" applyProtection="1">
      <alignment horizontal="center"/>
    </xf>
    <xf numFmtId="165" fontId="2" fillId="4" borderId="18" xfId="2" applyNumberFormat="1" applyFont="1" applyFill="1" applyBorder="1" applyProtection="1"/>
    <xf numFmtId="164" fontId="4" fillId="8" borderId="2" xfId="0" applyNumberFormat="1" applyFont="1" applyFill="1" applyBorder="1" applyProtection="1"/>
    <xf numFmtId="164" fontId="8" fillId="8" borderId="3" xfId="0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42" xfId="0" applyNumberFormat="1" applyFont="1" applyFill="1" applyBorder="1" applyAlignment="1">
      <alignment horizontal="center"/>
    </xf>
    <xf numFmtId="1" fontId="2" fillId="7" borderId="42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2" fillId="3" borderId="2" xfId="2" applyFont="1" applyFill="1" applyBorder="1" applyAlignment="1" applyProtection="1">
      <alignment horizontal="center"/>
    </xf>
    <xf numFmtId="0" fontId="4" fillId="10" borderId="21" xfId="0" applyFont="1" applyFill="1" applyBorder="1" applyProtection="1"/>
    <xf numFmtId="0" fontId="4" fillId="10" borderId="22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right"/>
    </xf>
    <xf numFmtId="0" fontId="11" fillId="0" borderId="18" xfId="0" applyFont="1" applyBorder="1" applyProtection="1"/>
    <xf numFmtId="0" fontId="2" fillId="5" borderId="18" xfId="0" applyFont="1" applyFill="1" applyBorder="1" applyProtection="1"/>
    <xf numFmtId="0" fontId="2" fillId="13" borderId="20" xfId="0" applyFont="1" applyFill="1" applyBorder="1" applyProtection="1"/>
    <xf numFmtId="0" fontId="4" fillId="0" borderId="15" xfId="0" applyFont="1" applyFill="1" applyBorder="1" applyProtection="1"/>
    <xf numFmtId="0" fontId="4" fillId="9" borderId="2" xfId="0" applyFont="1" applyFill="1" applyBorder="1" applyProtection="1"/>
    <xf numFmtId="0" fontId="4" fillId="9" borderId="15" xfId="0" applyFont="1" applyFill="1" applyBorder="1" applyProtection="1"/>
    <xf numFmtId="0" fontId="2" fillId="5" borderId="18" xfId="0" applyFont="1" applyFill="1" applyBorder="1" applyAlignment="1" applyProtection="1">
      <alignment horizontal="center"/>
    </xf>
    <xf numFmtId="165" fontId="2" fillId="0" borderId="2" xfId="0" applyNumberFormat="1" applyFont="1" applyBorder="1" applyProtection="1"/>
    <xf numFmtId="164" fontId="4" fillId="0" borderId="3" xfId="0" applyNumberFormat="1" applyFont="1" applyBorder="1" applyProtection="1"/>
    <xf numFmtId="164" fontId="2" fillId="0" borderId="3" xfId="0" applyNumberFormat="1" applyFont="1" applyBorder="1" applyProtection="1"/>
    <xf numFmtId="166" fontId="2" fillId="0" borderId="41" xfId="0" applyNumberFormat="1" applyFont="1" applyBorder="1" applyProtection="1"/>
    <xf numFmtId="165" fontId="4" fillId="0" borderId="0" xfId="0" applyNumberFormat="1" applyFont="1" applyBorder="1" applyProtection="1"/>
    <xf numFmtId="164" fontId="4" fillId="8" borderId="2" xfId="0" applyNumberFormat="1" applyFont="1" applyFill="1" applyBorder="1" applyAlignment="1" applyProtection="1">
      <alignment horizontal="right"/>
    </xf>
    <xf numFmtId="164" fontId="4" fillId="2" borderId="2" xfId="0" applyNumberFormat="1" applyFont="1" applyFill="1" applyBorder="1" applyAlignment="1" applyProtection="1">
      <protection locked="0"/>
    </xf>
    <xf numFmtId="164" fontId="4" fillId="2" borderId="15" xfId="0" applyNumberFormat="1" applyFont="1" applyFill="1" applyBorder="1" applyAlignment="1" applyProtection="1">
      <protection locked="0"/>
    </xf>
    <xf numFmtId="164" fontId="10" fillId="8" borderId="3" xfId="0" applyNumberFormat="1" applyFont="1" applyFill="1" applyBorder="1" applyAlignment="1" applyProtection="1"/>
    <xf numFmtId="0" fontId="13" fillId="6" borderId="46" xfId="0" applyFont="1" applyFill="1" applyBorder="1" applyAlignment="1">
      <alignment horizontal="center"/>
    </xf>
    <xf numFmtId="0" fontId="4" fillId="9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47" xfId="0" applyFont="1" applyBorder="1" applyProtection="1"/>
    <xf numFmtId="0" fontId="4" fillId="7" borderId="42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7" borderId="49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7" borderId="49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6" borderId="51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center"/>
    </xf>
    <xf numFmtId="0" fontId="4" fillId="10" borderId="18" xfId="0" applyFont="1" applyFill="1" applyBorder="1" applyAlignment="1" applyProtection="1">
      <alignment horizontal="center"/>
    </xf>
    <xf numFmtId="0" fontId="4" fillId="9" borderId="22" xfId="0" applyFont="1" applyFill="1" applyBorder="1" applyProtection="1"/>
    <xf numFmtId="0" fontId="4" fillId="9" borderId="21" xfId="0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165" fontId="2" fillId="5" borderId="22" xfId="0" applyNumberFormat="1" applyFont="1" applyFill="1" applyBorder="1" applyAlignment="1" applyProtection="1">
      <alignment horizontal="right"/>
    </xf>
    <xf numFmtId="0" fontId="4" fillId="0" borderId="19" xfId="0" applyNumberFormat="1" applyFont="1" applyBorder="1" applyProtection="1"/>
    <xf numFmtId="0" fontId="4" fillId="10" borderId="2" xfId="0" applyNumberFormat="1" applyFont="1" applyFill="1" applyBorder="1" applyProtection="1"/>
    <xf numFmtId="0" fontId="4" fillId="0" borderId="2" xfId="0" applyNumberFormat="1" applyFont="1" applyBorder="1" applyProtection="1"/>
    <xf numFmtId="0" fontId="4" fillId="0" borderId="43" xfId="0" applyNumberFormat="1" applyFont="1" applyBorder="1" applyProtection="1"/>
    <xf numFmtId="0" fontId="4" fillId="10" borderId="15" xfId="0" applyNumberFormat="1" applyFont="1" applyFill="1" applyBorder="1" applyProtection="1"/>
    <xf numFmtId="0" fontId="4" fillId="0" borderId="15" xfId="0" applyNumberFormat="1" applyFont="1" applyBorder="1" applyProtection="1"/>
    <xf numFmtId="0" fontId="4" fillId="10" borderId="19" xfId="0" applyNumberFormat="1" applyFont="1" applyFill="1" applyBorder="1" applyProtection="1"/>
    <xf numFmtId="165" fontId="2" fillId="0" borderId="46" xfId="0" applyNumberFormat="1" applyFont="1" applyBorder="1" applyAlignment="1" applyProtection="1">
      <alignment horizontal="center"/>
    </xf>
    <xf numFmtId="0" fontId="4" fillId="0" borderId="48" xfId="0" applyFont="1" applyBorder="1" applyProtection="1"/>
    <xf numFmtId="0" fontId="4" fillId="2" borderId="47" xfId="0" applyFont="1" applyFill="1" applyBorder="1" applyAlignment="1" applyProtection="1">
      <alignment horizontal="center"/>
    </xf>
    <xf numFmtId="0" fontId="4" fillId="12" borderId="5" xfId="0" applyFont="1" applyFill="1" applyBorder="1" applyAlignment="1" applyProtection="1">
      <alignment horizontal="center" vertical="center" wrapText="1"/>
    </xf>
    <xf numFmtId="0" fontId="4" fillId="12" borderId="11" xfId="0" applyFont="1" applyFill="1" applyBorder="1" applyAlignment="1" applyProtection="1">
      <alignment horizontal="center" vertical="center" wrapText="1"/>
    </xf>
    <xf numFmtId="0" fontId="4" fillId="12" borderId="6" xfId="0" applyFont="1" applyFill="1" applyBorder="1" applyAlignment="1" applyProtection="1">
      <alignment horizontal="center" vertical="center" wrapText="1"/>
    </xf>
    <xf numFmtId="0" fontId="4" fillId="12" borderId="7" xfId="0" applyFont="1" applyFill="1" applyBorder="1" applyAlignment="1" applyProtection="1">
      <alignment horizontal="center" vertical="center" wrapText="1"/>
    </xf>
    <xf numFmtId="0" fontId="4" fillId="12" borderId="0" xfId="0" applyFont="1" applyFill="1" applyBorder="1" applyAlignment="1" applyProtection="1">
      <alignment horizontal="center" vertical="center" wrapText="1"/>
    </xf>
    <xf numFmtId="0" fontId="4" fillId="12" borderId="8" xfId="0" applyFont="1" applyFill="1" applyBorder="1" applyAlignment="1" applyProtection="1">
      <alignment horizontal="center" vertical="center" wrapText="1"/>
    </xf>
    <xf numFmtId="0" fontId="4" fillId="12" borderId="9" xfId="0" applyFont="1" applyFill="1" applyBorder="1" applyAlignment="1" applyProtection="1">
      <alignment horizontal="center" vertical="center" wrapText="1"/>
    </xf>
    <xf numFmtId="0" fontId="4" fillId="12" borderId="4" xfId="0" applyFont="1" applyFill="1" applyBorder="1" applyAlignment="1" applyProtection="1">
      <alignment horizontal="center" vertical="center" wrapText="1"/>
    </xf>
    <xf numFmtId="0" fontId="4" fillId="12" borderId="10" xfId="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5" fillId="12" borderId="6" xfId="0" applyFont="1" applyFill="1" applyBorder="1" applyAlignment="1" applyProtection="1">
      <alignment horizontal="center" wrapText="1"/>
    </xf>
    <xf numFmtId="0" fontId="4" fillId="12" borderId="7" xfId="0" applyFont="1" applyFill="1" applyBorder="1" applyAlignment="1" applyProtection="1">
      <alignment horizontal="center"/>
    </xf>
    <xf numFmtId="0" fontId="4" fillId="12" borderId="8" xfId="0" applyFont="1" applyFill="1" applyBorder="1" applyAlignment="1" applyProtection="1">
      <alignment horizontal="center"/>
    </xf>
    <xf numFmtId="0" fontId="4" fillId="13" borderId="0" xfId="0" applyFont="1" applyFill="1" applyAlignment="1" applyProtection="1">
      <alignment horizontal="center" wrapText="1"/>
    </xf>
    <xf numFmtId="0" fontId="2" fillId="12" borderId="9" xfId="0" applyFont="1" applyFill="1" applyBorder="1" applyAlignment="1" applyProtection="1">
      <alignment horizontal="center"/>
    </xf>
    <xf numFmtId="0" fontId="2" fillId="12" borderId="10" xfId="0" applyFont="1" applyFill="1" applyBorder="1" applyAlignment="1" applyProtection="1">
      <alignment horizontal="center"/>
    </xf>
    <xf numFmtId="0" fontId="7" fillId="12" borderId="5" xfId="0" applyFont="1" applyFill="1" applyBorder="1" applyAlignment="1" applyProtection="1">
      <alignment horizontal="center" wrapText="1"/>
    </xf>
  </cellXfs>
  <cellStyles count="3">
    <cellStyle name="Heading 2" xfId="1" builtinId="17"/>
    <cellStyle name="Normal" xfId="0" builtinId="0"/>
    <cellStyle name="Normal 2" xfId="2"/>
  </cellStyles>
  <dxfs count="4"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152399</xdr:colOff>
      <xdr:row>2</xdr:row>
      <xdr:rowOff>15240</xdr:rowOff>
    </xdr:from>
    <xdr:to>
      <xdr:col>3</xdr:col>
      <xdr:colOff>2077331</xdr:colOff>
      <xdr:row>4</xdr:row>
      <xdr:rowOff>170995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" y="447040"/>
          <a:ext cx="2185282" cy="58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GridLines="0" showRowColHeaders="0" tabSelected="1" zoomScale="140" zoomScaleNormal="140" workbookViewId="0">
      <selection activeCell="E8" sqref="E8"/>
    </sheetView>
  </sheetViews>
  <sheetFormatPr defaultColWidth="5.42578125" defaultRowHeight="14.25" zeroHeight="1" x14ac:dyDescent="0.2"/>
  <cols>
    <col min="1" max="1" width="3.7109375" style="12" customWidth="1"/>
    <col min="2" max="2" width="2.7109375" style="12" customWidth="1"/>
    <col min="3" max="3" width="3.7109375" style="12" customWidth="1"/>
    <col min="4" max="4" width="31.42578125" style="12" customWidth="1"/>
    <col min="5" max="5" width="26" style="12" customWidth="1"/>
    <col min="6" max="6" width="3.7109375" style="12" customWidth="1"/>
    <col min="7" max="7" width="2.7109375" style="22" customWidth="1"/>
    <col min="8" max="8" width="5.42578125" style="12" customWidth="1"/>
    <col min="9" max="9" width="20.28515625" style="12" hidden="1" customWidth="1"/>
    <col min="10" max="10" width="20.5703125" style="12" hidden="1" customWidth="1"/>
    <col min="11" max="11" width="19" style="12" hidden="1" customWidth="1"/>
    <col min="12" max="12" width="17.140625" style="12" hidden="1" customWidth="1"/>
    <col min="13" max="13" width="14.7109375" style="12" hidden="1" customWidth="1"/>
    <col min="14" max="14" width="16.28515625" style="12" hidden="1" customWidth="1"/>
    <col min="15" max="15" width="15.7109375" style="12" hidden="1" customWidth="1"/>
    <col min="16" max="16" width="20.140625" style="12" hidden="1" customWidth="1"/>
    <col min="17" max="17" width="18.28515625" style="12" hidden="1" customWidth="1"/>
    <col min="18" max="18" width="26.28515625" style="12" hidden="1" customWidth="1"/>
    <col min="19" max="19" width="22.5703125" style="12" hidden="1" customWidth="1"/>
    <col min="20" max="20" width="22.140625" style="12" hidden="1" customWidth="1"/>
    <col min="21" max="21" width="22.5703125" style="12" hidden="1" customWidth="1"/>
    <col min="22" max="22" width="15.5703125" style="12" hidden="1" customWidth="1"/>
    <col min="23" max="23" width="8.5703125" style="12" customWidth="1"/>
    <col min="24" max="24" width="7" style="12" customWidth="1"/>
    <col min="25" max="25" width="17.85546875" style="12" customWidth="1"/>
    <col min="26" max="16383" width="5.42578125" style="12"/>
    <col min="16384" max="16384" width="1.5703125" style="12" customWidth="1"/>
  </cols>
  <sheetData>
    <row r="1" spans="1:22" ht="13.9" x14ac:dyDescent="0.25">
      <c r="B1" s="14"/>
      <c r="C1" s="14"/>
      <c r="D1" s="14"/>
      <c r="E1" s="14"/>
      <c r="F1" s="14"/>
      <c r="G1" s="14"/>
    </row>
    <row r="2" spans="1:22" ht="19.899999999999999" customHeight="1" thickBot="1" x14ac:dyDescent="0.3">
      <c r="A2" s="15"/>
      <c r="G2" s="15"/>
      <c r="I2" s="54"/>
      <c r="J2" s="54"/>
      <c r="K2" s="54"/>
      <c r="L2" s="54"/>
      <c r="M2" s="54"/>
      <c r="N2" s="54"/>
      <c r="O2" s="54"/>
      <c r="P2" s="54"/>
      <c r="Q2" s="54"/>
    </row>
    <row r="3" spans="1:22" ht="19.5" x14ac:dyDescent="0.3">
      <c r="A3" s="15"/>
      <c r="E3" s="202" t="s">
        <v>128</v>
      </c>
      <c r="F3" s="196"/>
      <c r="G3" s="15"/>
      <c r="I3" s="55"/>
      <c r="J3" s="55"/>
      <c r="K3" s="55"/>
      <c r="L3" s="54"/>
      <c r="M3" s="54"/>
      <c r="N3" s="54"/>
      <c r="O3" s="54"/>
      <c r="P3" s="54"/>
      <c r="Q3" s="54"/>
    </row>
    <row r="4" spans="1:22" ht="13.9" x14ac:dyDescent="0.25">
      <c r="A4" s="15"/>
      <c r="E4" s="197" t="s">
        <v>98</v>
      </c>
      <c r="F4" s="198"/>
      <c r="G4" s="15"/>
      <c r="K4" s="55"/>
      <c r="L4" s="54"/>
      <c r="M4" s="54"/>
      <c r="N4" s="54"/>
      <c r="O4" s="54"/>
      <c r="P4" s="54"/>
      <c r="Q4" s="54"/>
    </row>
    <row r="5" spans="1:22" ht="15" thickBot="1" x14ac:dyDescent="0.25">
      <c r="A5" s="15"/>
      <c r="E5" s="200" t="s">
        <v>99</v>
      </c>
      <c r="F5" s="201"/>
      <c r="G5" s="15"/>
    </row>
    <row r="6" spans="1:22" ht="71.25" customHeight="1" thickBot="1" x14ac:dyDescent="0.25">
      <c r="A6" s="15"/>
      <c r="C6" s="199" t="s">
        <v>129</v>
      </c>
      <c r="D6" s="199"/>
      <c r="E6" s="199"/>
      <c r="F6" s="199"/>
      <c r="G6" s="15"/>
    </row>
    <row r="7" spans="1:22" ht="15" thickBot="1" x14ac:dyDescent="0.25">
      <c r="A7" s="15"/>
      <c r="E7" s="16"/>
      <c r="F7" s="16"/>
      <c r="G7" s="15"/>
      <c r="I7" s="90" t="s">
        <v>53</v>
      </c>
      <c r="J7" s="91" t="s">
        <v>92</v>
      </c>
    </row>
    <row r="8" spans="1:22" ht="24" customHeight="1" thickBot="1" x14ac:dyDescent="0.3">
      <c r="A8" s="15"/>
      <c r="C8" s="17" t="str">
        <f>"1."</f>
        <v>1.</v>
      </c>
      <c r="D8" s="18" t="s">
        <v>29</v>
      </c>
      <c r="E8" s="110" t="s">
        <v>27</v>
      </c>
      <c r="F8" s="19"/>
      <c r="G8" s="15"/>
      <c r="I8" s="92" t="s">
        <v>111</v>
      </c>
      <c r="J8" s="93" t="str">
        <f>IF(E8=Q22,I43,I34)</f>
        <v>Sessions</v>
      </c>
      <c r="K8" s="22"/>
    </row>
    <row r="9" spans="1:22" ht="14.45" thickBot="1" x14ac:dyDescent="0.3">
      <c r="A9" s="15"/>
      <c r="F9" s="21"/>
      <c r="G9" s="15"/>
      <c r="I9" s="119" t="s">
        <v>100</v>
      </c>
      <c r="J9" s="118" t="str">
        <f>IF(OR(D16=R14,D16=R15,D16=R18),"YN",IF(D16=R13,"SUMMER",IF(E8=Q23,"NURSE",IF(E8=Q19,"MED",IF(E8=Q17,"EAP","")))))</f>
        <v/>
      </c>
      <c r="K9" s="22"/>
    </row>
    <row r="10" spans="1:22" ht="18" thickBot="1" x14ac:dyDescent="0.3">
      <c r="A10" s="15"/>
      <c r="C10" s="17" t="str">
        <f>"2."</f>
        <v>2.</v>
      </c>
      <c r="D10" s="25" t="s">
        <v>28</v>
      </c>
      <c r="E10" s="114">
        <v>0</v>
      </c>
      <c r="G10" s="15"/>
      <c r="I10" s="94" t="s">
        <v>101</v>
      </c>
      <c r="J10" s="95" t="str">
        <f>IF(D17="","",IF(AND(D17&lt;&gt;"",E8&lt;&gt;Q14),"YN","SUMMER"))</f>
        <v/>
      </c>
      <c r="K10" s="22"/>
      <c r="Q10" s="12" t="s">
        <v>125</v>
      </c>
    </row>
    <row r="11" spans="1:22" x14ac:dyDescent="0.2">
      <c r="A11" s="15"/>
      <c r="D11" s="31"/>
      <c r="E11" s="21"/>
      <c r="G11" s="15"/>
      <c r="Q11" s="64" t="s">
        <v>124</v>
      </c>
      <c r="R11" s="37"/>
      <c r="S11" s="37"/>
      <c r="T11" s="37"/>
      <c r="U11" s="37"/>
      <c r="V11" s="37"/>
    </row>
    <row r="12" spans="1:22" ht="18" hidden="1" thickBot="1" x14ac:dyDescent="0.3">
      <c r="A12" s="15"/>
      <c r="C12" s="17" t="str">
        <f>"3."</f>
        <v>3.</v>
      </c>
      <c r="D12" s="25" t="s">
        <v>32</v>
      </c>
      <c r="E12" s="112" t="s">
        <v>33</v>
      </c>
      <c r="F12" s="24"/>
      <c r="G12" s="15"/>
      <c r="Q12" s="64" t="s">
        <v>104</v>
      </c>
      <c r="R12" s="65"/>
      <c r="S12" s="37"/>
      <c r="T12" s="37"/>
      <c r="U12" s="37"/>
      <c r="V12" s="37"/>
    </row>
    <row r="13" spans="1:22" ht="14.45" hidden="1" thickBot="1" x14ac:dyDescent="0.3">
      <c r="A13" s="15"/>
      <c r="D13" s="31"/>
      <c r="E13" s="21"/>
      <c r="F13" s="21"/>
      <c r="G13" s="15"/>
      <c r="I13" s="26" t="s">
        <v>1</v>
      </c>
      <c r="J13" s="27"/>
      <c r="K13" s="27"/>
      <c r="L13" s="28" t="s">
        <v>2</v>
      </c>
      <c r="M13" s="29"/>
      <c r="N13" s="29"/>
      <c r="O13" s="29"/>
      <c r="P13" s="29"/>
      <c r="Q13" s="56" t="s">
        <v>27</v>
      </c>
      <c r="R13" s="30" t="s">
        <v>112</v>
      </c>
      <c r="S13" s="140" t="s">
        <v>46</v>
      </c>
      <c r="T13" s="142"/>
      <c r="U13" s="37"/>
      <c r="V13" s="37"/>
    </row>
    <row r="14" spans="1:22" ht="18" hidden="1" thickBot="1" x14ac:dyDescent="0.3">
      <c r="A14" s="15"/>
      <c r="C14" s="17" t="str">
        <f>"4."</f>
        <v>4.</v>
      </c>
      <c r="D14" s="35" t="s">
        <v>54</v>
      </c>
      <c r="E14" s="112" t="s">
        <v>33</v>
      </c>
      <c r="F14" s="20"/>
      <c r="G14" s="15"/>
      <c r="I14" s="32"/>
      <c r="J14" s="8" t="s">
        <v>84</v>
      </c>
      <c r="K14" s="8" t="s">
        <v>68</v>
      </c>
      <c r="L14" s="32" t="s">
        <v>65</v>
      </c>
      <c r="M14" s="32" t="s">
        <v>38</v>
      </c>
      <c r="N14" s="32" t="s">
        <v>66</v>
      </c>
      <c r="O14" s="33" t="s">
        <v>39</v>
      </c>
      <c r="P14" s="34" t="s">
        <v>4</v>
      </c>
      <c r="Q14" s="8" t="s">
        <v>5</v>
      </c>
      <c r="R14" s="30" t="s">
        <v>105</v>
      </c>
      <c r="S14" s="141" t="str">
        <f>IF(AND(E8=Q14,E16=Q26),I31,IF(AND(E8=Q14,E16&lt;&gt;Q26),I15,""))</f>
        <v/>
      </c>
      <c r="T14" s="142"/>
      <c r="U14" s="37"/>
      <c r="V14" s="37"/>
    </row>
    <row r="15" spans="1:22" ht="13.9" hidden="1" x14ac:dyDescent="0.25">
      <c r="A15" s="15"/>
      <c r="C15" s="38" t="s">
        <v>0</v>
      </c>
      <c r="D15" s="19" t="s">
        <v>40</v>
      </c>
      <c r="E15" s="19"/>
      <c r="F15" s="21"/>
      <c r="G15" s="15"/>
      <c r="I15" s="8" t="s">
        <v>5</v>
      </c>
      <c r="J15" s="8">
        <v>9</v>
      </c>
      <c r="K15" s="8" t="s">
        <v>69</v>
      </c>
      <c r="L15" s="2">
        <v>40700</v>
      </c>
      <c r="M15" s="4">
        <f>L15/3</f>
        <v>13566.666666666666</v>
      </c>
      <c r="N15" s="2">
        <v>15300</v>
      </c>
      <c r="O15" s="3">
        <f>N15/3</f>
        <v>5100</v>
      </c>
      <c r="P15" s="3">
        <v>56000</v>
      </c>
      <c r="Q15" s="8" t="s">
        <v>6</v>
      </c>
      <c r="R15" s="30" t="s">
        <v>106</v>
      </c>
      <c r="S15" s="88" t="str">
        <f>IF(AND(E8=Q15,E16=Q26),I19,IF(AND(E8=Q15,E16&lt;&gt;Q26),I21,""))</f>
        <v/>
      </c>
      <c r="T15" s="37"/>
      <c r="U15" s="37"/>
      <c r="V15" s="37"/>
    </row>
    <row r="16" spans="1:22" ht="18.600000000000001" hidden="1" customHeight="1" x14ac:dyDescent="0.2">
      <c r="A16" s="15"/>
      <c r="D16" s="117" t="str">
        <f>IF(AND(E8=Q14,J41&lt;&gt;""),R14,IF(AND(E8=Q14,E14=I40,E12&lt;&gt;I39),R13,IF(AND(E8=Q15,J41&lt;&gt;""),R15,IF(AND(E8=Q16,J41&lt;&gt;""),R15,IF(E8=Q17,R17,IF(E8=Q18,R18,IF(E8=Q19,R19,IF(E8=Q23,R23,""))))))))</f>
        <v/>
      </c>
      <c r="E16" s="111"/>
      <c r="F16" s="20"/>
      <c r="G16" s="15"/>
      <c r="I16" s="8" t="s">
        <v>7</v>
      </c>
      <c r="J16" s="8">
        <v>12</v>
      </c>
      <c r="K16" s="8" t="s">
        <v>69</v>
      </c>
      <c r="L16" s="2">
        <v>28300</v>
      </c>
      <c r="M16" s="4">
        <f t="shared" ref="M16:M30" si="0">L16/3</f>
        <v>9433.3333333333339</v>
      </c>
      <c r="N16" s="2">
        <v>27500</v>
      </c>
      <c r="O16" s="3">
        <f>N16/4</f>
        <v>6875</v>
      </c>
      <c r="P16" s="3">
        <v>55800</v>
      </c>
      <c r="Q16" s="8" t="s">
        <v>7</v>
      </c>
      <c r="R16" s="30" t="s">
        <v>44</v>
      </c>
      <c r="S16" s="89" t="str">
        <f>IF(AND(E8=Q16,E16=Q26),I19,IF(AND(E8=Q16,E16&lt;&gt;Q26,E17=Q26),I20,IF(AND(E8=Q16,E16&lt;&gt;Q26,E17&lt;&gt;Q26),I16,"")))</f>
        <v/>
      </c>
      <c r="T16" s="37"/>
      <c r="U16" s="37"/>
      <c r="V16" s="37"/>
    </row>
    <row r="17" spans="1:22" ht="14.45" customHeight="1" x14ac:dyDescent="0.2">
      <c r="A17" s="15"/>
      <c r="D17" s="20" t="str">
        <f>IF(E8=Q16,R16,"")</f>
        <v/>
      </c>
      <c r="E17" s="111"/>
      <c r="F17" s="19"/>
      <c r="G17" s="15"/>
      <c r="I17" s="8" t="s">
        <v>9</v>
      </c>
      <c r="J17" s="8">
        <v>12</v>
      </c>
      <c r="K17" s="8" t="s">
        <v>69</v>
      </c>
      <c r="L17" s="36">
        <v>0</v>
      </c>
      <c r="M17" s="4">
        <f t="shared" si="0"/>
        <v>0</v>
      </c>
      <c r="N17" s="2">
        <v>22000</v>
      </c>
      <c r="O17" s="3">
        <f t="shared" ref="O17:O34" si="1">N17/4</f>
        <v>5500</v>
      </c>
      <c r="P17" s="3">
        <v>22000</v>
      </c>
      <c r="Q17" s="8" t="s">
        <v>10</v>
      </c>
      <c r="R17" s="57" t="s">
        <v>63</v>
      </c>
      <c r="S17" s="88" t="str">
        <f>IF(AND(E8=Q17,E16=R26),I18,IF(E8=Q17,I17,""))</f>
        <v/>
      </c>
      <c r="T17" s="37"/>
      <c r="U17" s="37"/>
      <c r="V17" s="37"/>
    </row>
    <row r="18" spans="1:22" ht="13.9" hidden="1" x14ac:dyDescent="0.25">
      <c r="A18" s="15"/>
      <c r="D18" s="23" t="str">
        <f>IF(D16=R15,Q12,IF(D16=R14,Q11,IF(AND(E14=I40,E16=U26),Q10,"")))</f>
        <v/>
      </c>
      <c r="E18" s="11"/>
      <c r="F18" s="21"/>
      <c r="G18" s="15"/>
      <c r="I18" s="8" t="s">
        <v>12</v>
      </c>
      <c r="J18" s="8">
        <v>9</v>
      </c>
      <c r="K18" s="8" t="s">
        <v>69</v>
      </c>
      <c r="L18" s="36">
        <v>0</v>
      </c>
      <c r="M18" s="4">
        <f t="shared" si="0"/>
        <v>0</v>
      </c>
      <c r="N18" s="2">
        <v>15000</v>
      </c>
      <c r="O18" s="3">
        <f>N18/3</f>
        <v>5000</v>
      </c>
      <c r="P18" s="3">
        <v>15000</v>
      </c>
      <c r="Q18" s="8" t="s">
        <v>13</v>
      </c>
      <c r="R18" s="57" t="s">
        <v>45</v>
      </c>
      <c r="S18" s="89" t="str">
        <f>IF(AND(E8=Q18,E16&lt;&gt;Q26),I22,IF(AND(E8=Q18,E16=Q26),I23,""))</f>
        <v/>
      </c>
      <c r="T18" s="37"/>
      <c r="U18" s="37"/>
      <c r="V18" s="37"/>
    </row>
    <row r="19" spans="1:22" x14ac:dyDescent="0.2">
      <c r="A19" s="15"/>
      <c r="D19" s="31"/>
      <c r="E19" s="21"/>
      <c r="F19" s="21"/>
      <c r="G19" s="15"/>
      <c r="I19" s="8" t="s">
        <v>8</v>
      </c>
      <c r="J19" s="8">
        <v>12</v>
      </c>
      <c r="K19" s="8" t="s">
        <v>69</v>
      </c>
      <c r="L19" s="2">
        <v>162</v>
      </c>
      <c r="M19" s="4">
        <f>L19</f>
        <v>162</v>
      </c>
      <c r="N19" s="2">
        <v>27500</v>
      </c>
      <c r="O19" s="3">
        <f t="shared" si="1"/>
        <v>6875</v>
      </c>
      <c r="P19" s="3">
        <v>27500</v>
      </c>
      <c r="Q19" s="8" t="s">
        <v>14</v>
      </c>
      <c r="R19" s="30" t="s">
        <v>57</v>
      </c>
      <c r="S19" s="89" t="str">
        <f>IF(AND(E8=Q19,E16=S27),I25,IF(E8=Q19,I24,""))</f>
        <v/>
      </c>
      <c r="T19" s="37"/>
      <c r="U19" s="37"/>
      <c r="V19" s="37"/>
    </row>
    <row r="20" spans="1:22" ht="17.45" x14ac:dyDescent="0.3">
      <c r="A20" s="15"/>
      <c r="C20" s="17" t="str">
        <f>"3."</f>
        <v>3.</v>
      </c>
      <c r="D20" s="39" t="s">
        <v>75</v>
      </c>
      <c r="E20" s="21"/>
      <c r="F20" s="40"/>
      <c r="G20" s="15"/>
      <c r="I20" s="8" t="s">
        <v>15</v>
      </c>
      <c r="J20" s="8">
        <v>12</v>
      </c>
      <c r="K20" s="8" t="s">
        <v>69</v>
      </c>
      <c r="L20" s="2">
        <v>13729</v>
      </c>
      <c r="M20" s="4">
        <f t="shared" si="0"/>
        <v>4576.333333333333</v>
      </c>
      <c r="N20" s="2">
        <v>27500</v>
      </c>
      <c r="O20" s="3">
        <f t="shared" si="1"/>
        <v>6875</v>
      </c>
      <c r="P20" s="3">
        <f>L20+N20</f>
        <v>41229</v>
      </c>
      <c r="Q20" s="8" t="s">
        <v>16</v>
      </c>
      <c r="R20" s="30"/>
      <c r="S20" s="89" t="str">
        <f>IF(E8=Q20,I26,"")</f>
        <v/>
      </c>
      <c r="T20" s="37"/>
      <c r="U20" s="37"/>
      <c r="V20" s="37"/>
    </row>
    <row r="21" spans="1:22" ht="13.9" x14ac:dyDescent="0.25">
      <c r="A21" s="15"/>
      <c r="D21" s="22"/>
      <c r="E21" s="40"/>
      <c r="F21" s="40"/>
      <c r="G21" s="15"/>
      <c r="I21" s="8" t="s">
        <v>6</v>
      </c>
      <c r="J21" s="8">
        <v>12</v>
      </c>
      <c r="K21" s="8" t="s">
        <v>69</v>
      </c>
      <c r="L21" s="2">
        <v>28300</v>
      </c>
      <c r="M21" s="4">
        <f t="shared" si="0"/>
        <v>9433.3333333333339</v>
      </c>
      <c r="N21" s="2">
        <v>27500</v>
      </c>
      <c r="O21" s="3">
        <f t="shared" si="1"/>
        <v>6875</v>
      </c>
      <c r="P21" s="3">
        <v>55800</v>
      </c>
      <c r="Q21" s="8" t="s">
        <v>17</v>
      </c>
      <c r="R21" s="30"/>
      <c r="S21" s="89" t="str">
        <f>IF(E8=Q21,I27,"")</f>
        <v/>
      </c>
      <c r="T21" s="37"/>
      <c r="U21" s="37"/>
      <c r="V21" s="37"/>
    </row>
    <row r="22" spans="1:22" ht="13.9" x14ac:dyDescent="0.25">
      <c r="A22" s="15"/>
      <c r="D22" s="40" t="s">
        <v>3</v>
      </c>
      <c r="E22" s="152">
        <f>IF(U31&lt;&gt;"",U31,"")</f>
        <v>0</v>
      </c>
      <c r="F22" s="38"/>
      <c r="G22" s="15"/>
      <c r="I22" s="8" t="s">
        <v>13</v>
      </c>
      <c r="J22" s="8">
        <v>12</v>
      </c>
      <c r="K22" s="8" t="s">
        <v>69</v>
      </c>
      <c r="L22" s="2">
        <v>50755</v>
      </c>
      <c r="M22" s="4">
        <f t="shared" si="0"/>
        <v>16918.333333333332</v>
      </c>
      <c r="N22" s="2">
        <v>28678</v>
      </c>
      <c r="O22" s="3">
        <f t="shared" si="1"/>
        <v>7169.5</v>
      </c>
      <c r="P22" s="3">
        <v>79433</v>
      </c>
      <c r="Q22" s="8" t="s">
        <v>18</v>
      </c>
      <c r="R22" s="30"/>
      <c r="S22" s="89" t="str">
        <f>IF(E8=Q22,I28,"")</f>
        <v/>
      </c>
      <c r="T22" s="37"/>
      <c r="U22" s="37"/>
      <c r="V22" s="37"/>
    </row>
    <row r="23" spans="1:22" ht="13.9" x14ac:dyDescent="0.25">
      <c r="A23" s="15"/>
      <c r="D23" s="38" t="s">
        <v>76</v>
      </c>
      <c r="E23" s="125">
        <f>IF(U34&lt;&gt;"",U34,"")</f>
        <v>0</v>
      </c>
      <c r="G23" s="15"/>
      <c r="I23" s="8" t="s">
        <v>19</v>
      </c>
      <c r="J23" s="8">
        <v>12</v>
      </c>
      <c r="K23" s="8" t="s">
        <v>69</v>
      </c>
      <c r="L23" s="36">
        <v>0</v>
      </c>
      <c r="M23" s="4">
        <f t="shared" si="0"/>
        <v>0</v>
      </c>
      <c r="N23" s="2">
        <v>7169</v>
      </c>
      <c r="O23" s="3">
        <f>N23</f>
        <v>7169</v>
      </c>
      <c r="P23" s="3">
        <v>7169</v>
      </c>
      <c r="Q23" s="8" t="s">
        <v>20</v>
      </c>
      <c r="R23" s="30" t="s">
        <v>51</v>
      </c>
      <c r="S23" s="89" t="str">
        <f>IF(AND(E8=Q23,E16=T26),I29,IF(E8=Q23,I30,""))</f>
        <v/>
      </c>
      <c r="T23" s="37"/>
      <c r="U23" s="37"/>
      <c r="V23" s="37"/>
    </row>
    <row r="24" spans="1:22" ht="15.6" customHeight="1" thickBot="1" x14ac:dyDescent="0.35">
      <c r="A24" s="15"/>
      <c r="C24" s="41"/>
      <c r="D24" s="86" t="s">
        <v>77</v>
      </c>
      <c r="E24" s="101">
        <f>IF(U39&lt;&gt;"",U39,"")</f>
        <v>0</v>
      </c>
      <c r="F24" s="43"/>
      <c r="G24" s="15"/>
      <c r="I24" s="8" t="s">
        <v>23</v>
      </c>
      <c r="J24" s="8">
        <v>12</v>
      </c>
      <c r="K24" s="8" t="s">
        <v>69</v>
      </c>
      <c r="L24" s="2">
        <v>53500</v>
      </c>
      <c r="M24" s="4">
        <f t="shared" si="0"/>
        <v>17833.333333333332</v>
      </c>
      <c r="N24" s="2">
        <v>27500</v>
      </c>
      <c r="O24" s="3">
        <f t="shared" si="1"/>
        <v>6875</v>
      </c>
      <c r="P24" s="3">
        <v>81000</v>
      </c>
      <c r="Q24" s="66"/>
      <c r="R24" s="37"/>
      <c r="S24" s="37"/>
      <c r="T24" s="67"/>
      <c r="U24" s="67"/>
      <c r="V24" s="67"/>
    </row>
    <row r="25" spans="1:22" ht="14.45" customHeight="1" thickBot="1" x14ac:dyDescent="0.35">
      <c r="A25" s="15"/>
      <c r="C25" s="22"/>
      <c r="D25" s="87" t="s">
        <v>78</v>
      </c>
      <c r="E25" s="126">
        <f>SUM(E22:E24)</f>
        <v>0</v>
      </c>
      <c r="F25" s="44"/>
      <c r="G25" s="15"/>
      <c r="I25" s="8" t="s">
        <v>24</v>
      </c>
      <c r="J25" s="8">
        <v>12</v>
      </c>
      <c r="K25" s="8" t="s">
        <v>69</v>
      </c>
      <c r="L25" s="2">
        <v>50980</v>
      </c>
      <c r="M25" s="4">
        <f t="shared" si="0"/>
        <v>16993.333333333332</v>
      </c>
      <c r="N25" s="2">
        <v>27500</v>
      </c>
      <c r="O25" s="3">
        <f t="shared" si="1"/>
        <v>6875</v>
      </c>
      <c r="P25" s="3">
        <v>78480</v>
      </c>
      <c r="Q25" s="68" t="s">
        <v>59</v>
      </c>
      <c r="R25" s="69" t="s">
        <v>47</v>
      </c>
      <c r="S25" s="69" t="s">
        <v>60</v>
      </c>
      <c r="T25" s="70" t="s">
        <v>61</v>
      </c>
      <c r="U25" s="120" t="s">
        <v>62</v>
      </c>
      <c r="V25" s="128" t="s">
        <v>58</v>
      </c>
    </row>
    <row r="26" spans="1:22" ht="22.15" customHeight="1" x14ac:dyDescent="0.25">
      <c r="A26" s="15"/>
      <c r="C26" s="22"/>
      <c r="D26" s="42"/>
      <c r="E26" s="22"/>
      <c r="F26" s="22"/>
      <c r="G26" s="15"/>
      <c r="I26" s="8" t="s">
        <v>25</v>
      </c>
      <c r="J26" s="8">
        <v>12</v>
      </c>
      <c r="K26" s="8" t="s">
        <v>69</v>
      </c>
      <c r="L26" s="2">
        <v>44850</v>
      </c>
      <c r="M26" s="4">
        <f t="shared" si="0"/>
        <v>14950</v>
      </c>
      <c r="N26" s="2">
        <v>21508</v>
      </c>
      <c r="O26" s="3">
        <f t="shared" si="1"/>
        <v>5377</v>
      </c>
      <c r="P26" s="3">
        <v>66358</v>
      </c>
      <c r="Q26" s="45" t="s">
        <v>30</v>
      </c>
      <c r="R26" s="46" t="s">
        <v>11</v>
      </c>
      <c r="S26" s="46" t="s">
        <v>55</v>
      </c>
      <c r="T26" s="71" t="s">
        <v>49</v>
      </c>
      <c r="U26" s="99" t="s">
        <v>36</v>
      </c>
      <c r="V26" s="131">
        <v>0</v>
      </c>
    </row>
    <row r="27" spans="1:22" ht="18" thickBot="1" x14ac:dyDescent="0.3">
      <c r="A27" s="15"/>
      <c r="C27" s="17" t="str">
        <f>"4."</f>
        <v>4.</v>
      </c>
      <c r="D27" s="113" t="s">
        <v>93</v>
      </c>
      <c r="G27" s="15"/>
      <c r="I27" s="8" t="s">
        <v>17</v>
      </c>
      <c r="J27" s="8">
        <v>12</v>
      </c>
      <c r="K27" s="8" t="s">
        <v>69</v>
      </c>
      <c r="L27" s="2">
        <v>36480</v>
      </c>
      <c r="M27" s="4">
        <f t="shared" si="0"/>
        <v>12160</v>
      </c>
      <c r="N27" s="2">
        <v>27500</v>
      </c>
      <c r="O27" s="3">
        <f t="shared" si="1"/>
        <v>6875</v>
      </c>
      <c r="P27" s="3">
        <v>63980</v>
      </c>
      <c r="Q27" s="47" t="s">
        <v>31</v>
      </c>
      <c r="R27" s="48" t="s">
        <v>48</v>
      </c>
      <c r="S27" s="48" t="s">
        <v>56</v>
      </c>
      <c r="T27" s="72" t="s">
        <v>50</v>
      </c>
      <c r="U27" s="129" t="s">
        <v>37</v>
      </c>
      <c r="V27" s="106">
        <v>1</v>
      </c>
    </row>
    <row r="28" spans="1:22" ht="15.75" thickBot="1" x14ac:dyDescent="0.3">
      <c r="A28" s="15"/>
      <c r="C28" s="49"/>
      <c r="D28" s="19"/>
      <c r="E28" s="19"/>
      <c r="F28" s="19"/>
      <c r="G28" s="15"/>
      <c r="I28" s="50" t="s">
        <v>18</v>
      </c>
      <c r="J28" s="50">
        <v>12</v>
      </c>
      <c r="K28" s="134" t="s">
        <v>70</v>
      </c>
      <c r="L28" s="6">
        <v>33880</v>
      </c>
      <c r="M28" s="7">
        <f>L28/2</f>
        <v>16940</v>
      </c>
      <c r="N28" s="6">
        <v>27500</v>
      </c>
      <c r="O28" s="124">
        <f>N28/12*4.5</f>
        <v>10312.5</v>
      </c>
      <c r="P28" s="6">
        <v>61300</v>
      </c>
      <c r="Q28" s="73"/>
      <c r="R28" s="37"/>
      <c r="S28" s="37"/>
      <c r="T28" s="37"/>
      <c r="U28" s="130" t="s">
        <v>74</v>
      </c>
      <c r="V28" s="132">
        <v>2</v>
      </c>
    </row>
    <row r="29" spans="1:22" x14ac:dyDescent="0.2">
      <c r="A29" s="15"/>
      <c r="C29" s="19"/>
      <c r="D29" s="40" t="s">
        <v>94</v>
      </c>
      <c r="E29" s="153"/>
      <c r="F29" s="19"/>
      <c r="G29" s="15"/>
      <c r="I29" s="8" t="s">
        <v>21</v>
      </c>
      <c r="J29" s="8">
        <v>12</v>
      </c>
      <c r="K29" s="8" t="s">
        <v>69</v>
      </c>
      <c r="L29" s="2">
        <v>36000</v>
      </c>
      <c r="M29" s="4">
        <f t="shared" si="0"/>
        <v>12000</v>
      </c>
      <c r="N29" s="2">
        <v>27500</v>
      </c>
      <c r="O29" s="3">
        <f t="shared" si="1"/>
        <v>6875</v>
      </c>
      <c r="P29" s="2">
        <v>63500</v>
      </c>
      <c r="Q29" s="37"/>
      <c r="R29" s="37"/>
      <c r="S29" s="65"/>
      <c r="T29" s="37"/>
      <c r="U29" s="127"/>
      <c r="V29" s="106">
        <v>3</v>
      </c>
    </row>
    <row r="30" spans="1:22" ht="15" thickBot="1" x14ac:dyDescent="0.25">
      <c r="A30" s="15"/>
      <c r="C30" s="19"/>
      <c r="D30" s="40" t="s">
        <v>95</v>
      </c>
      <c r="E30" s="153"/>
      <c r="F30" s="19"/>
      <c r="G30" s="15"/>
      <c r="I30" s="8" t="s">
        <v>22</v>
      </c>
      <c r="J30" s="8">
        <v>12</v>
      </c>
      <c r="K30" s="8" t="s">
        <v>69</v>
      </c>
      <c r="L30" s="2">
        <v>39990</v>
      </c>
      <c r="M30" s="4">
        <f t="shared" si="0"/>
        <v>13330</v>
      </c>
      <c r="N30" s="2">
        <v>27500</v>
      </c>
      <c r="O30" s="3">
        <f t="shared" si="1"/>
        <v>6875</v>
      </c>
      <c r="P30" s="2">
        <v>67490</v>
      </c>
      <c r="Q30" s="58" t="s">
        <v>79</v>
      </c>
      <c r="R30" s="74" t="s">
        <v>67</v>
      </c>
      <c r="S30" s="58" t="s">
        <v>80</v>
      </c>
      <c r="T30" s="96" t="s">
        <v>81</v>
      </c>
      <c r="U30" s="58" t="s">
        <v>82</v>
      </c>
      <c r="V30" s="107">
        <v>4</v>
      </c>
    </row>
    <row r="31" spans="1:22" ht="15.75" thickBot="1" x14ac:dyDescent="0.25">
      <c r="A31" s="15"/>
      <c r="C31" s="51"/>
      <c r="D31" s="40" t="s">
        <v>96</v>
      </c>
      <c r="E31" s="154"/>
      <c r="F31" s="19"/>
      <c r="G31" s="15"/>
      <c r="I31" s="8" t="s">
        <v>52</v>
      </c>
      <c r="J31" s="8">
        <v>9</v>
      </c>
      <c r="K31" s="8" t="s">
        <v>69</v>
      </c>
      <c r="L31" s="2"/>
      <c r="M31" s="5">
        <f>2812.17+776</f>
        <v>3588.17</v>
      </c>
      <c r="N31" s="2"/>
      <c r="O31" s="3">
        <f>O15</f>
        <v>5100</v>
      </c>
      <c r="P31" s="2">
        <f>M31+O31</f>
        <v>8688.17</v>
      </c>
      <c r="Q31" s="57">
        <f>IF(E8=Q22,M48,N41)</f>
        <v>3</v>
      </c>
      <c r="R31" s="146" t="str">
        <f>IF(S14&lt;&gt;"",S14,IF(S15&lt;&gt;"",S15,IF(S16&lt;&gt;"",S16,IF(S17&lt;&gt;"",S17,IF(S18&lt;&gt;"",S18,IF(S19&lt;&gt;"",S19,IF(S20&lt;&gt;"",S20,IF(S21&lt;&gt;"",S21,IF(S22&lt;&gt;"",S22,IF(S23&lt;&gt;"",S23,""))))))))))</f>
        <v/>
      </c>
      <c r="S31" s="147" t="str">
        <f>IF(R31&lt;&gt;"",VLOOKUP(R31,I15:P34,5,FALSE),"")</f>
        <v/>
      </c>
      <c r="T31" s="174">
        <f>IF(AND(E8=Q14,P41=I32),M32,IF(AND(E8=Q14,P41=I33),M33,0))</f>
        <v>0</v>
      </c>
      <c r="U31" s="100">
        <f>IF(AND(Q31&gt;0,S31&lt;&gt;""),(Q31*S31)+T31,T31)</f>
        <v>0</v>
      </c>
      <c r="V31" s="108">
        <v>5</v>
      </c>
    </row>
    <row r="32" spans="1:22" ht="16.5" thickBot="1" x14ac:dyDescent="0.3">
      <c r="A32" s="15"/>
      <c r="C32" s="51"/>
      <c r="D32" s="40" t="s">
        <v>97</v>
      </c>
      <c r="E32" s="155">
        <f>SUM(E29:E31)</f>
        <v>0</v>
      </c>
      <c r="F32" s="19"/>
      <c r="G32" s="15"/>
      <c r="I32" s="8" t="s">
        <v>41</v>
      </c>
      <c r="J32" s="8">
        <v>9</v>
      </c>
      <c r="K32" s="8" t="s">
        <v>71</v>
      </c>
      <c r="L32" s="2"/>
      <c r="M32" s="9">
        <v>2290</v>
      </c>
      <c r="N32" s="10"/>
      <c r="O32" s="1">
        <v>2550</v>
      </c>
      <c r="P32" s="1">
        <v>4840</v>
      </c>
      <c r="Q32" s="37"/>
      <c r="R32" s="37"/>
      <c r="S32" s="37"/>
      <c r="T32" s="37"/>
      <c r="U32" s="37"/>
      <c r="V32" s="37"/>
    </row>
    <row r="33" spans="1:22" ht="15" customHeight="1" thickBot="1" x14ac:dyDescent="0.25">
      <c r="A33" s="22"/>
      <c r="B33" s="103"/>
      <c r="C33" s="22"/>
      <c r="D33" s="102" t="str">
        <f>IF(E32&lt;E25,Q40,Q41)</f>
        <v>You have enough funding</v>
      </c>
      <c r="E33" s="151" t="str">
        <f>IF(E25-E32&gt;0,E25-E32,"")</f>
        <v/>
      </c>
      <c r="F33" s="22"/>
      <c r="G33" s="15"/>
      <c r="I33" s="169" t="s">
        <v>64</v>
      </c>
      <c r="J33" s="169">
        <v>9</v>
      </c>
      <c r="K33" s="58" t="s">
        <v>64</v>
      </c>
      <c r="L33" s="57"/>
      <c r="M33" s="59">
        <f>M32*2</f>
        <v>4580</v>
      </c>
      <c r="N33" s="37"/>
      <c r="O33" s="59">
        <f>O32*2</f>
        <v>5100</v>
      </c>
      <c r="P33" s="59">
        <f>P32*2</f>
        <v>9680</v>
      </c>
      <c r="Q33" s="194" t="s">
        <v>122</v>
      </c>
      <c r="R33" s="195"/>
      <c r="S33" s="138" t="s">
        <v>121</v>
      </c>
      <c r="T33" s="75" t="s">
        <v>83</v>
      </c>
      <c r="U33" s="76" t="s">
        <v>87</v>
      </c>
      <c r="V33" s="37"/>
    </row>
    <row r="34" spans="1:22" ht="15" thickBot="1" x14ac:dyDescent="0.25">
      <c r="B34" s="103"/>
      <c r="C34" s="22"/>
      <c r="D34" s="22"/>
      <c r="F34" s="22"/>
      <c r="G34" s="15"/>
      <c r="I34" s="168" t="s">
        <v>110</v>
      </c>
      <c r="J34" s="52"/>
      <c r="K34" s="13"/>
      <c r="L34" s="2"/>
      <c r="M34" s="167" t="s">
        <v>26</v>
      </c>
      <c r="N34" s="2">
        <v>6000</v>
      </c>
      <c r="O34" s="3">
        <f t="shared" si="1"/>
        <v>1500</v>
      </c>
      <c r="P34" s="3">
        <v>6000</v>
      </c>
      <c r="Q34" s="77" t="s">
        <v>116</v>
      </c>
      <c r="R34" s="78" t="str">
        <f>IF(R31="","",IF(AND(E8&lt;&gt;Q22,(VLOOKUP(R31,I15:P33,2,FALSE)=12)),Q26,Q27))</f>
        <v/>
      </c>
      <c r="S34" s="148">
        <f>IF(AND(E8=Q14,E14=I39),O32,IF(AND(E8=Q14,E14=I40),O33,0))</f>
        <v>0</v>
      </c>
      <c r="T34" s="79" t="str">
        <f>IF(R31="","",VLOOKUP(R31,I15:P33,7,FALSE))</f>
        <v/>
      </c>
      <c r="U34" s="98">
        <f>IF(T34="",0,(Q31*T34)+R38+S34)</f>
        <v>0</v>
      </c>
      <c r="V34" s="37"/>
    </row>
    <row r="35" spans="1:22" ht="15" thickBot="1" x14ac:dyDescent="0.25">
      <c r="B35" s="103"/>
      <c r="C35" s="22"/>
      <c r="D35" s="22"/>
      <c r="E35" s="22"/>
      <c r="F35" s="22"/>
      <c r="G35" s="15"/>
      <c r="I35" s="163" t="s">
        <v>27</v>
      </c>
      <c r="J35" s="121" t="s">
        <v>34</v>
      </c>
      <c r="K35" s="53" t="s">
        <v>35</v>
      </c>
      <c r="L35" s="12" t="s">
        <v>33</v>
      </c>
      <c r="M35" s="12" t="s">
        <v>42</v>
      </c>
      <c r="N35" s="12" t="s">
        <v>43</v>
      </c>
      <c r="O35" s="11" t="s">
        <v>119</v>
      </c>
      <c r="P35" s="11" t="s">
        <v>120</v>
      </c>
      <c r="Q35" s="77" t="s">
        <v>115</v>
      </c>
      <c r="R35" s="78" t="str">
        <f>IF(OR(J36&lt;&gt;"",K36&lt;&gt;"",K37&lt;&gt;"",J40&lt;&gt;"",K40&lt;&gt;"",L40&lt;&gt;""),Q27,Q26)</f>
        <v>Yes</v>
      </c>
      <c r="S35" s="137"/>
      <c r="T35" s="37"/>
      <c r="U35" s="37"/>
      <c r="V35" s="37"/>
    </row>
    <row r="36" spans="1:22" ht="14.45" customHeight="1" x14ac:dyDescent="0.2">
      <c r="B36" s="103"/>
      <c r="C36" s="185" t="s">
        <v>130</v>
      </c>
      <c r="D36" s="186"/>
      <c r="E36" s="186"/>
      <c r="F36" s="187"/>
      <c r="G36" s="15"/>
      <c r="I36" s="164" t="s">
        <v>33</v>
      </c>
      <c r="J36" s="122" t="str">
        <f>IF(AND(E12=I36,E14=I37),1,"")</f>
        <v/>
      </c>
      <c r="K36" s="60" t="str">
        <f>IF(AND(E12=I36,E14=I38),2,"")</f>
        <v/>
      </c>
      <c r="L36" s="60">
        <f>IF(AND(E12=I36,E14=I36),3,"")</f>
        <v>3</v>
      </c>
      <c r="M36" s="61" t="str">
        <f>IF(AND(E12=I36,E14=I39),2,"")</f>
        <v/>
      </c>
      <c r="N36" s="61" t="str">
        <f>IF(AND(E12=I36,E14=I40),2,"")</f>
        <v/>
      </c>
      <c r="O36" s="144">
        <f>SUM(J36:N36)</f>
        <v>3</v>
      </c>
      <c r="P36" s="170" t="str">
        <f>IF(OR(M36&lt;&gt;"",M37&lt;&gt;"",M38&lt;&gt;"",N39&lt;&gt;"",M40&lt;&gt;""),I32,"")</f>
        <v/>
      </c>
      <c r="Q36" s="77" t="s">
        <v>113</v>
      </c>
      <c r="R36" s="78" t="str">
        <f>IF(OR(SUM(M36:M40)&gt;0,SUM(J39:N39)&gt;0),Q26,Q27)</f>
        <v>No</v>
      </c>
      <c r="S36" s="182" t="s">
        <v>127</v>
      </c>
      <c r="T36" s="139" t="s">
        <v>89</v>
      </c>
      <c r="U36" s="81">
        <f>IF(AND(Q31&lt;&gt;"",O34&lt;&gt;""),Q31*O34,"")</f>
        <v>4500</v>
      </c>
      <c r="V36" s="37"/>
    </row>
    <row r="37" spans="1:22" ht="15" customHeight="1" thickBot="1" x14ac:dyDescent="0.25">
      <c r="B37" s="103"/>
      <c r="C37" s="188"/>
      <c r="D37" s="189"/>
      <c r="E37" s="189"/>
      <c r="F37" s="190"/>
      <c r="G37" s="15"/>
      <c r="I37" s="165" t="s">
        <v>34</v>
      </c>
      <c r="J37" s="122" t="str">
        <f>IF(AND(E12=I37,E14=I37),3,"")</f>
        <v/>
      </c>
      <c r="K37" s="60" t="str">
        <f>IF(AND(E12=I37,E14=I38),1,"")</f>
        <v/>
      </c>
      <c r="L37" s="60" t="str">
        <f>IF(AND(E12=I37,E14=I36),2,"")</f>
        <v/>
      </c>
      <c r="M37" s="61" t="str">
        <f>IF(AND(E12=I37,E14=I39),1,"")</f>
        <v/>
      </c>
      <c r="N37" s="61" t="str">
        <f>IF(AND(E12=I37,E14=I40),1,"")</f>
        <v/>
      </c>
      <c r="O37" s="144">
        <f>SUM(J37:N37)</f>
        <v>0</v>
      </c>
      <c r="P37" s="170" t="str">
        <f>IF(OR(N36&lt;&gt;"",N37&lt;&gt;"",N38&lt;&gt;"",M39&lt;&gt;"",N40&lt;&gt;""),I33,"")</f>
        <v/>
      </c>
      <c r="Q37" s="77" t="s">
        <v>85</v>
      </c>
      <c r="R37" s="150">
        <f>IF(AND(R34=Q26,R35=Q26,R36=Q27),1,IF(AND(R34=Q26,R35=Q26,R36=Q26),0.5,0))</f>
        <v>0</v>
      </c>
      <c r="S37" s="183">
        <f>IF(AND(E8=Q22,K48=Q26),1,IF(R34=Q26,R37,IF(S34=O33,1,IF(S34=O32,0.5,0))))</f>
        <v>0</v>
      </c>
      <c r="T37" s="82" t="s">
        <v>90</v>
      </c>
      <c r="U37" s="83">
        <f>O34*S37</f>
        <v>0</v>
      </c>
      <c r="V37" s="37"/>
    </row>
    <row r="38" spans="1:22" ht="31.15" customHeight="1" thickBot="1" x14ac:dyDescent="0.25">
      <c r="B38" s="103"/>
      <c r="C38" s="191"/>
      <c r="D38" s="192"/>
      <c r="E38" s="192"/>
      <c r="F38" s="193"/>
      <c r="G38" s="15"/>
      <c r="I38" s="164" t="s">
        <v>35</v>
      </c>
      <c r="J38" s="122" t="str">
        <f>IF(AND(E12=I38,E14=I37),2,"")</f>
        <v/>
      </c>
      <c r="K38" s="60" t="str">
        <f>IF(AND(E12=I38,E14=I38),3,"")</f>
        <v/>
      </c>
      <c r="L38" s="60" t="str">
        <f>IF(AND(E12=I38,E14=I36),1,"")</f>
        <v/>
      </c>
      <c r="M38" s="133" t="str">
        <f>IF(AND(E12=I38,E14=I39),1,"")</f>
        <v/>
      </c>
      <c r="N38" s="133" t="str">
        <f>IF(AND(E12=I38,E14=I40),1,"")</f>
        <v/>
      </c>
      <c r="O38" s="144">
        <f>SUM(J38:L38)</f>
        <v>0</v>
      </c>
      <c r="P38" s="170" t="str">
        <f>IF(AND(P37&lt;&gt;"",E16&lt;&gt;U28),I32,IF(AND(P37&lt;&gt;"",E16=U28),I33,""))</f>
        <v/>
      </c>
      <c r="Q38" s="80" t="s">
        <v>86</v>
      </c>
      <c r="R38" s="149">
        <f>IF(T34="",0,IF(AND(R31=Q22,K48=Q26),N28/4,T34*R37))</f>
        <v>0</v>
      </c>
      <c r="T38" s="84" t="s">
        <v>88</v>
      </c>
      <c r="U38" s="85">
        <f>U36+U37</f>
        <v>4500</v>
      </c>
      <c r="V38" s="37"/>
    </row>
    <row r="39" spans="1:22" ht="15" thickBot="1" x14ac:dyDescent="0.25">
      <c r="B39" s="104"/>
      <c r="C39" s="22"/>
      <c r="D39" s="22"/>
      <c r="E39" s="22"/>
      <c r="F39" s="22"/>
      <c r="G39" s="52"/>
      <c r="I39" s="165" t="s">
        <v>36</v>
      </c>
      <c r="J39" s="122" t="str">
        <f>IF(AND(E12=I39,E14=I37),2,"")</f>
        <v/>
      </c>
      <c r="K39" s="60" t="str">
        <f>IF(AND(E12=I39,E14=I38),3,"")</f>
        <v/>
      </c>
      <c r="L39" s="60" t="str">
        <f>IF(AND(E12=I39,E14=I36),1,"")</f>
        <v/>
      </c>
      <c r="M39" s="61" t="str">
        <f>IF(AND(E12=I39,E14=I39),3,"")</f>
        <v/>
      </c>
      <c r="N39" s="133" t="str">
        <f>IF(AND(E12=I39,E14=I40),1,"")</f>
        <v/>
      </c>
      <c r="O39" s="144">
        <f>SUM(J39:M39)</f>
        <v>0</v>
      </c>
      <c r="P39" s="10"/>
      <c r="Q39" s="37"/>
      <c r="R39" s="37"/>
      <c r="T39" s="97" t="s">
        <v>91</v>
      </c>
      <c r="U39" s="98">
        <f>IF(AND(U38&lt;&gt;"",E10&lt;&gt;""),U38*E10,"")</f>
        <v>0</v>
      </c>
      <c r="V39" s="37"/>
    </row>
    <row r="40" spans="1:22" ht="15" thickBot="1" x14ac:dyDescent="0.25">
      <c r="B40" s="105"/>
      <c r="C40" s="105"/>
      <c r="D40" s="109"/>
      <c r="E40" s="105"/>
      <c r="F40" s="105"/>
      <c r="G40" s="105"/>
      <c r="I40" s="166" t="s">
        <v>37</v>
      </c>
      <c r="J40" s="123" t="str">
        <f>IF(AND(E12=I40,E14=I37),2,"")</f>
        <v/>
      </c>
      <c r="K40" s="115" t="str">
        <f>IF(AND(E12=I40,E14=I38),3,"")</f>
        <v/>
      </c>
      <c r="L40" s="115" t="str">
        <f>IF(AND(E12=I40,E14=I36),1,"")</f>
        <v/>
      </c>
      <c r="M40" s="62" t="str">
        <f>IF(AND(E12=I40,E14=I39),3,"")</f>
        <v/>
      </c>
      <c r="N40" s="62" t="str">
        <f>IF(AND(E12=I40,E14=I40),3,"")</f>
        <v/>
      </c>
      <c r="O40" s="145">
        <f>SUM(J40:N40)</f>
        <v>0</v>
      </c>
      <c r="P40" s="143"/>
      <c r="Q40" s="12" t="s">
        <v>126</v>
      </c>
      <c r="R40" s="37"/>
      <c r="V40" s="37"/>
    </row>
    <row r="41" spans="1:22" ht="14.45" hidden="1" customHeight="1" thickBot="1" x14ac:dyDescent="0.3">
      <c r="D41" s="11"/>
      <c r="I41" s="173" t="s">
        <v>102</v>
      </c>
      <c r="J41" s="157" t="str">
        <f>IF(SUM(J36:L40)=1,Q26,"")</f>
        <v/>
      </c>
      <c r="K41" s="173" t="s">
        <v>103</v>
      </c>
      <c r="L41" s="136" t="str">
        <f>IF(SUM(M36:N39)&gt;0,Q26,"")</f>
        <v/>
      </c>
      <c r="M41" s="172" t="s">
        <v>118</v>
      </c>
      <c r="N41" s="171">
        <f>SUM(O36:O40)</f>
        <v>3</v>
      </c>
      <c r="O41" s="135" t="s">
        <v>72</v>
      </c>
      <c r="P41" s="136" t="str">
        <f>IF(AND(E8=Q14,P36&lt;&gt;""),P36,IF(AND(E8=Q14,P38&lt;&gt;""),P38,""))</f>
        <v/>
      </c>
      <c r="Q41" s="37" t="s">
        <v>123</v>
      </c>
      <c r="R41" s="37"/>
      <c r="V41" s="37"/>
    </row>
    <row r="42" spans="1:22" ht="14.45" hidden="1" thickBot="1" x14ac:dyDescent="0.3">
      <c r="J42" s="158"/>
      <c r="K42" s="158"/>
      <c r="L42" s="184" t="s">
        <v>114</v>
      </c>
      <c r="M42" s="184"/>
      <c r="N42" s="184"/>
      <c r="O42" s="184"/>
      <c r="P42" s="184"/>
    </row>
    <row r="43" spans="1:22" ht="13.9" hidden="1" x14ac:dyDescent="0.25">
      <c r="I43" s="156" t="s">
        <v>107</v>
      </c>
      <c r="J43" s="14"/>
      <c r="K43" s="14"/>
    </row>
    <row r="44" spans="1:22" ht="13.9" hidden="1" x14ac:dyDescent="0.25">
      <c r="I44" s="160" t="s">
        <v>27</v>
      </c>
      <c r="J44" s="52" t="s">
        <v>35</v>
      </c>
      <c r="K44" s="159" t="s">
        <v>109</v>
      </c>
      <c r="L44" s="13" t="s">
        <v>33</v>
      </c>
      <c r="M44" s="13" t="s">
        <v>73</v>
      </c>
    </row>
    <row r="45" spans="1:22" ht="13.9" hidden="1" x14ac:dyDescent="0.25">
      <c r="I45" s="161" t="s">
        <v>33</v>
      </c>
      <c r="J45" s="175" t="str">
        <f>IF(AND(E12=I45,E14=I46),1,"")</f>
        <v/>
      </c>
      <c r="K45" s="176" t="str">
        <f>IF(AND(E12=I45,E14=I47),1,"")</f>
        <v/>
      </c>
      <c r="L45" s="176">
        <f>IF(AND(E12=I45,E14=I45),2,"")</f>
        <v>2</v>
      </c>
      <c r="M45" s="177">
        <f>SUM(J45:L45)</f>
        <v>2</v>
      </c>
    </row>
    <row r="46" spans="1:22" ht="13.9" hidden="1" x14ac:dyDescent="0.25">
      <c r="I46" s="160" t="s">
        <v>108</v>
      </c>
      <c r="J46" s="181" t="str">
        <f>IF(AND(E12=I46,E14=I46),2,"")</f>
        <v/>
      </c>
      <c r="K46" s="176" t="str">
        <f>IF(AND(E12=I46,E14=I47),0,"")</f>
        <v/>
      </c>
      <c r="L46" s="176" t="str">
        <f>IF(AND(E12=I46,E14=I45),1,"")</f>
        <v/>
      </c>
      <c r="M46" s="177">
        <f t="shared" ref="M46:M47" si="2">SUM(J46:L46)</f>
        <v>0</v>
      </c>
    </row>
    <row r="47" spans="1:22" ht="14.45" hidden="1" thickBot="1" x14ac:dyDescent="0.3">
      <c r="I47" s="162" t="s">
        <v>109</v>
      </c>
      <c r="J47" s="178" t="str">
        <f>IF(AND(E12=I47,E14=I46),2,"")</f>
        <v/>
      </c>
      <c r="K47" s="179" t="str">
        <f>IF(AND(E12=I47,E14=I47),2,"")</f>
        <v/>
      </c>
      <c r="L47" s="180" t="str">
        <f>IF(AND(E12=I47,E14=I45),1,"")</f>
        <v/>
      </c>
      <c r="M47" s="177">
        <f t="shared" si="2"/>
        <v>0</v>
      </c>
    </row>
    <row r="48" spans="1:22" ht="14.45" hidden="1" thickBot="1" x14ac:dyDescent="0.3">
      <c r="J48" s="135" t="s">
        <v>117</v>
      </c>
      <c r="K48" s="136" t="str">
        <f>IF(OR(J46&lt;&gt;"",K45&lt;&gt;"",K46&lt;&gt;"",K47&lt;&gt;"",L45&lt;&gt;"",L46&lt;&gt;""),Q26,Q27)</f>
        <v>Yes</v>
      </c>
      <c r="L48" s="116" t="s">
        <v>72</v>
      </c>
      <c r="M48" s="63">
        <f>SUM(M45:M47)</f>
        <v>2</v>
      </c>
    </row>
  </sheetData>
  <sheetProtection algorithmName="SHA-512" hashValue="0xWdOJ1+EIAFB3oGpiVClHvQq0DKJ3W3mPPN7bEd4+onw1INoQbmcc+6XZSGuWh6kn5YTj76xk4j8Zc4gEucSA==" saltValue="HLMxLyEj7eyjJ8AmT1uWQg==" spinCount="100000" sheet="1" objects="1" scenarios="1"/>
  <mergeCells count="7">
    <mergeCell ref="L42:P42"/>
    <mergeCell ref="C36:F38"/>
    <mergeCell ref="Q33:R33"/>
    <mergeCell ref="E3:F3"/>
    <mergeCell ref="E4:F4"/>
    <mergeCell ref="E5:F5"/>
    <mergeCell ref="C6:F6"/>
  </mergeCells>
  <conditionalFormatting sqref="E16">
    <cfRule type="expression" dxfId="3" priority="55">
      <formula>J9&lt;&gt;""</formula>
    </cfRule>
  </conditionalFormatting>
  <conditionalFormatting sqref="E17">
    <cfRule type="expression" dxfId="2" priority="3">
      <formula>D17&lt;&gt;""</formula>
    </cfRule>
  </conditionalFormatting>
  <conditionalFormatting sqref="E18">
    <cfRule type="expression" dxfId="1" priority="57">
      <formula>(#REF!=R27)</formula>
    </cfRule>
  </conditionalFormatting>
  <conditionalFormatting sqref="E33">
    <cfRule type="expression" dxfId="0" priority="2">
      <formula>E33&lt;&gt;""</formula>
    </cfRule>
  </conditionalFormatting>
  <dataValidations count="6">
    <dataValidation type="list" allowBlank="1" showInputMessage="1" showErrorMessage="1" sqref="E16:E17">
      <formula1>IF(J9="","",INDIRECT(J9))</formula1>
    </dataValidation>
    <dataValidation type="list" allowBlank="1" showInputMessage="1" showErrorMessage="1" sqref="E8">
      <formula1>$Q$13:$Q$23</formula1>
    </dataValidation>
    <dataValidation type="list" allowBlank="1" showInputMessage="1" showErrorMessage="1" sqref="E14">
      <formula1>INDIRECT(J8)</formula1>
    </dataValidation>
    <dataValidation type="list" allowBlank="1" showInputMessage="1" showErrorMessage="1" sqref="E10">
      <formula1>INDIRECT($V$25)</formula1>
    </dataValidation>
    <dataValidation type="list" allowBlank="1" showInputMessage="1" showErrorMessage="1" sqref="I36:I40">
      <formula1>$I$36:$I$40</formula1>
    </dataValidation>
    <dataValidation type="list" allowBlank="1" showInputMessage="1" showErrorMessage="1" sqref="E12">
      <formula1>INDIRECT(J8)</formula1>
    </dataValidation>
  </dataValidations>
  <pageMargins left="1" right="1" top="1" bottom="1" header="0.5" footer="0.5"/>
  <pageSetup orientation="portrait" horizontalDpi="4294967295" verticalDpi="4294967295" r:id="rId1"/>
  <ignoredErrors>
    <ignoredError sqref="M28 O23 O18 O38 O28 M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ExtensionCalculator</vt:lpstr>
      <vt:lpstr>DEP</vt:lpstr>
      <vt:lpstr>EAP</vt:lpstr>
      <vt:lpstr>MED</vt:lpstr>
      <vt:lpstr>MPVM</vt:lpstr>
      <vt:lpstr>NURSE</vt:lpstr>
      <vt:lpstr>ExtensionCalculator!Print_Area</vt:lpstr>
      <vt:lpstr>Sessions</vt:lpstr>
      <vt:lpstr>SUMMER</vt:lpstr>
      <vt:lpstr>YN</vt:lpstr>
    </vt:vector>
  </TitlesOfParts>
  <Company>IET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J Taylor</dc:creator>
  <dc:description>Password:  G0ucdavis!
Hint: Zero not O</dc:description>
  <cp:lastModifiedBy>Emily J Taylor</cp:lastModifiedBy>
  <cp:lastPrinted>2016-03-31T21:45:27Z</cp:lastPrinted>
  <dcterms:created xsi:type="dcterms:W3CDTF">2015-12-07T23:19:37Z</dcterms:created>
  <dcterms:modified xsi:type="dcterms:W3CDTF">2017-03-15T21:48:37Z</dcterms:modified>
</cp:coreProperties>
</file>