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jtaylor\Documents\PDFs\"/>
    </mc:Choice>
  </mc:AlternateContent>
  <bookViews>
    <workbookView xWindow="0" yWindow="0" windowWidth="19368" windowHeight="9756"/>
  </bookViews>
  <sheets>
    <sheet name="FundingCalculator" sheetId="2" r:id="rId1"/>
  </sheets>
  <definedNames>
    <definedName name="DEP">FundingCalculator!#REF!</definedName>
    <definedName name="EAP">FundingCalculator!#REF!</definedName>
    <definedName name="MED">FundingCalculator!#REF!</definedName>
    <definedName name="MPVM">FundingCalculator!#REF!</definedName>
    <definedName name="NURSE">FundingCalculator!#REF!</definedName>
    <definedName name="_xlnm.Print_Area" localSheetId="0">FundingCalculator!$A$1:$H$38</definedName>
    <definedName name="Sessions">FundingCalculator!#REF!</definedName>
    <definedName name="SUMMER">FundingCalculator!#REF!</definedName>
    <definedName name="YN">FundingCalculator!#REF!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" i="2" l="1"/>
  <c r="Q31" i="2"/>
  <c r="Q30" i="2"/>
  <c r="P23" i="2"/>
  <c r="N23" i="2"/>
  <c r="E34" i="2" l="1"/>
  <c r="C33" i="2"/>
  <c r="C34" i="2"/>
  <c r="C31" i="2" l="1"/>
  <c r="C32" i="2" s="1"/>
  <c r="M10" i="2" l="1"/>
  <c r="M9" i="2"/>
  <c r="M8" i="2"/>
  <c r="C14" i="2" l="1"/>
  <c r="C10" i="2"/>
  <c r="C8" i="2"/>
  <c r="L9" i="2" l="1"/>
  <c r="L8" i="2"/>
  <c r="L14" i="2" s="1"/>
  <c r="M5" i="2"/>
  <c r="M6" i="2"/>
  <c r="L6" i="2"/>
  <c r="L5" i="2"/>
  <c r="D11" i="2"/>
  <c r="D12" i="2"/>
  <c r="Q23" i="2"/>
  <c r="K9" i="2" l="1"/>
  <c r="L15" i="2"/>
  <c r="K10" i="2"/>
  <c r="L16" i="2"/>
  <c r="K8" i="2"/>
  <c r="K6" i="2"/>
  <c r="K12" i="2" l="1"/>
  <c r="E19" i="2" s="1"/>
  <c r="K15" i="2"/>
  <c r="P32" i="2"/>
  <c r="Q29" i="2"/>
  <c r="P29" i="2"/>
  <c r="N29" i="2"/>
  <c r="K5" i="2" s="1"/>
  <c r="K14" i="2" s="1"/>
  <c r="Q27" i="2"/>
  <c r="P27" i="2"/>
  <c r="N27" i="2"/>
  <c r="Q26" i="2"/>
  <c r="P26" i="2"/>
  <c r="N26" i="2"/>
  <c r="Q25" i="2"/>
  <c r="P25" i="2"/>
  <c r="N25" i="2"/>
  <c r="Q24" i="2"/>
  <c r="P24" i="2"/>
  <c r="N24" i="2"/>
  <c r="Q22" i="2"/>
  <c r="P22" i="2"/>
  <c r="N22" i="2"/>
  <c r="Q21" i="2"/>
  <c r="P21" i="2"/>
  <c r="N21" i="2"/>
  <c r="Q20" i="2"/>
  <c r="P20" i="2"/>
  <c r="N20" i="2"/>
  <c r="K11" i="2" l="1"/>
  <c r="E18" i="2" s="1"/>
  <c r="M7" i="2"/>
  <c r="L7" i="2"/>
  <c r="C23" i="2"/>
  <c r="K7" i="2" l="1"/>
  <c r="E29" i="2"/>
  <c r="K16" i="2" l="1"/>
  <c r="K17" i="2" s="1"/>
  <c r="E33" i="2" s="1"/>
  <c r="K13" i="2"/>
  <c r="E20" i="2" s="1"/>
  <c r="E21" i="2" s="1"/>
  <c r="D30" i="2" s="1"/>
  <c r="E30" i="2" l="1"/>
</calcChain>
</file>

<file path=xl/sharedStrings.xml><?xml version="1.0" encoding="utf-8"?>
<sst xmlns="http://schemas.openxmlformats.org/spreadsheetml/2006/main" count="95" uniqueCount="74">
  <si>
    <t>Program Information</t>
  </si>
  <si>
    <t>Financial Amount</t>
  </si>
  <si>
    <t>Tuition</t>
  </si>
  <si>
    <t>Total per year</t>
  </si>
  <si>
    <t>Bachelors Degree</t>
  </si>
  <si>
    <t>Master Degree</t>
  </si>
  <si>
    <t>Doctoral Degree</t>
  </si>
  <si>
    <t>Medicine</t>
  </si>
  <si>
    <t>MPH</t>
  </si>
  <si>
    <t xml:space="preserve">MPVM </t>
  </si>
  <si>
    <t>Nursing MS</t>
  </si>
  <si>
    <t>Nursing PhD</t>
  </si>
  <si>
    <t>Dependent</t>
  </si>
  <si>
    <t>Number of Dependents</t>
  </si>
  <si>
    <t>Choose Educational Level</t>
  </si>
  <si>
    <t>No</t>
  </si>
  <si>
    <t>Summer Session II</t>
  </si>
  <si>
    <t>Per Term Tuition</t>
  </si>
  <si>
    <t>Per Term Expenses</t>
  </si>
  <si>
    <t>Summer Sessions</t>
  </si>
  <si>
    <t>Annual Tuition</t>
  </si>
  <si>
    <t>Annual Expenses</t>
  </si>
  <si>
    <t>Term</t>
  </si>
  <si>
    <t>Quarter</t>
  </si>
  <si>
    <t>Semester</t>
  </si>
  <si>
    <t>Summer Session</t>
  </si>
  <si>
    <t>Living Expenses</t>
  </si>
  <si>
    <t>Dependent Expenses</t>
  </si>
  <si>
    <t>Total</t>
  </si>
  <si>
    <t>Academic YR Months</t>
  </si>
  <si>
    <t>Personal Funds</t>
  </si>
  <si>
    <t>Family Sponsor</t>
  </si>
  <si>
    <t>Your Total Funding</t>
  </si>
  <si>
    <t>Determine Funding Needed</t>
  </si>
  <si>
    <t>Enter information in green fields</t>
  </si>
  <si>
    <t>You have enough funding</t>
  </si>
  <si>
    <t>Funding Calculator</t>
  </si>
  <si>
    <t>Both Summer Sessions</t>
  </si>
  <si>
    <t>Summmer I only</t>
  </si>
  <si>
    <t>Summmer II only</t>
  </si>
  <si>
    <t>Degree Drop Down</t>
  </si>
  <si>
    <t>Only for Summer</t>
  </si>
  <si>
    <t>Summer I only</t>
  </si>
  <si>
    <t>Summer II only</t>
  </si>
  <si>
    <t>Summer Only</t>
  </si>
  <si>
    <t>Coming Early</t>
  </si>
  <si>
    <t>Summer Living Expenses</t>
  </si>
  <si>
    <t>Summer Tuition?</t>
  </si>
  <si>
    <t>Summer Dep Expenses</t>
  </si>
  <si>
    <t>School Year Tuition</t>
  </si>
  <si>
    <t>School Year Living Exp</t>
  </si>
  <si>
    <t>School Year Dep Expenses</t>
  </si>
  <si>
    <t>TOTALS</t>
  </si>
  <si>
    <t>Other Sponsor</t>
  </si>
  <si>
    <t>Additional Funding Required</t>
  </si>
  <si>
    <t>F-1 Visa (I-20)</t>
  </si>
  <si>
    <t>J-1 Visa (DS-2019)</t>
  </si>
  <si>
    <t>Choose your visa type</t>
  </si>
  <si>
    <t>Visa Type Drop Down</t>
  </si>
  <si>
    <t>Program Length</t>
  </si>
  <si>
    <t>UC Davis Assistantship/Scholarship</t>
  </si>
  <si>
    <t>(Optional) Enter Your Funding in US Dollars:</t>
  </si>
  <si>
    <t>Grand Total tuition for J</t>
  </si>
  <si>
    <t>Grand total Dependent fo J</t>
  </si>
  <si>
    <t>Grand Total Living Exp for J</t>
  </si>
  <si>
    <t>1st year Tuition</t>
  </si>
  <si>
    <t>1st year Living Expenses</t>
  </si>
  <si>
    <t>1st year Dependent Expenses</t>
  </si>
  <si>
    <t>Total for program</t>
  </si>
  <si>
    <t>Grand total for program</t>
  </si>
  <si>
    <t>Minimum Financial Support in US Dollars:</t>
  </si>
  <si>
    <t xml:space="preserve">You must show one year of funding for yourself and </t>
  </si>
  <si>
    <t>any dependents in order to receive a document.</t>
  </si>
  <si>
    <t>Please upload your financial documentation in the https://iglobal.ucdavis.edu portal with your document request. There is no need to submit this worksheet.  Amounts must be verified by an SISS advisor and will be adjusted if necessary.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</si>
</sst>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16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5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11"/>
      <color rgb="FFC0000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2" fillId="0" borderId="0"/>
    <xf numFmtId="44" fontId="15" fillId="0" borderId="0" applyFont="0" applyFill="0" applyBorder="0" applyAlignment="0" applyProtection="0"/>
  </cellStyleXfs>
  <cellXfs count="104">
    <xf numFmtId="0" fontId="0" fillId="0" borderId="0" xfId="0"/>
    <xf numFmtId="164" fontId="2" fillId="0" borderId="2" xfId="2" applyNumberFormat="1" applyFont="1" applyFill="1" applyBorder="1"/>
    <xf numFmtId="164" fontId="2" fillId="0" borderId="2" xfId="2" applyNumberFormat="1" applyFont="1" applyFill="1" applyBorder="1" applyProtection="1"/>
    <xf numFmtId="164" fontId="2" fillId="0" borderId="16" xfId="2" applyNumberFormat="1" applyFont="1" applyFill="1" applyBorder="1" applyProtection="1"/>
    <xf numFmtId="165" fontId="2" fillId="0" borderId="2" xfId="2" applyNumberFormat="1" applyFont="1" applyFill="1" applyBorder="1" applyProtection="1"/>
    <xf numFmtId="0" fontId="2" fillId="0" borderId="2" xfId="2" applyFont="1" applyFill="1" applyBorder="1" applyAlignment="1" applyProtection="1">
      <alignment horizontal="center"/>
    </xf>
    <xf numFmtId="164" fontId="2" fillId="0" borderId="17" xfId="2" applyNumberFormat="1" applyFont="1" applyFill="1" applyBorder="1"/>
    <xf numFmtId="0" fontId="4" fillId="0" borderId="2" xfId="0" applyFont="1" applyFill="1" applyBorder="1" applyProtection="1"/>
    <xf numFmtId="0" fontId="4" fillId="0" borderId="0" xfId="0" applyFont="1" applyAlignment="1" applyProtection="1">
      <alignment horizontal="center"/>
    </xf>
    <xf numFmtId="0" fontId="4" fillId="0" borderId="0" xfId="0" applyFont="1" applyProtection="1"/>
    <xf numFmtId="0" fontId="4" fillId="0" borderId="2" xfId="0" applyFont="1" applyBorder="1" applyProtection="1"/>
    <xf numFmtId="0" fontId="4" fillId="0" borderId="12" xfId="0" applyFont="1" applyBorder="1" applyProtection="1"/>
    <xf numFmtId="0" fontId="4" fillId="0" borderId="10" xfId="0" applyFont="1" applyBorder="1" applyProtection="1"/>
    <xf numFmtId="0" fontId="4" fillId="0" borderId="0" xfId="0" applyFont="1" applyFill="1" applyBorder="1" applyAlignment="1" applyProtection="1">
      <alignment horizontal="center"/>
    </xf>
    <xf numFmtId="0" fontId="7" fillId="0" borderId="0" xfId="0" applyFont="1" applyAlignment="1" applyProtection="1">
      <alignment horizontal="right" vertical="center"/>
    </xf>
    <xf numFmtId="0" fontId="8" fillId="0" borderId="0" xfId="0" applyFont="1" applyAlignment="1" applyProtection="1">
      <alignment horizontal="left" vertical="center" wrapText="1"/>
    </xf>
    <xf numFmtId="0" fontId="4" fillId="0" borderId="0" xfId="0" applyFont="1" applyBorder="1" applyAlignment="1" applyProtection="1"/>
    <xf numFmtId="14" fontId="4" fillId="0" borderId="0" xfId="0" applyNumberFormat="1" applyFont="1" applyBorder="1" applyProtection="1"/>
    <xf numFmtId="0" fontId="4" fillId="0" borderId="0" xfId="0" applyFont="1" applyBorder="1" applyProtection="1"/>
    <xf numFmtId="0" fontId="10" fillId="0" borderId="0" xfId="0" applyFont="1" applyAlignment="1" applyProtection="1">
      <alignment horizontal="left" vertical="center"/>
    </xf>
    <xf numFmtId="0" fontId="2" fillId="2" borderId="14" xfId="2" applyFont="1" applyFill="1" applyBorder="1" applyAlignment="1" applyProtection="1">
      <alignment horizontal="left"/>
    </xf>
    <xf numFmtId="0" fontId="2" fillId="2" borderId="15" xfId="2" applyFont="1" applyFill="1" applyBorder="1" applyProtection="1"/>
    <xf numFmtId="0" fontId="2" fillId="2" borderId="14" xfId="2" applyFont="1" applyFill="1" applyBorder="1" applyProtection="1"/>
    <xf numFmtId="0" fontId="4" fillId="0" borderId="0" xfId="0" applyFont="1" applyBorder="1" applyAlignment="1" applyProtection="1">
      <alignment horizontal="center"/>
    </xf>
    <xf numFmtId="0" fontId="2" fillId="0" borderId="2" xfId="2" applyFont="1" applyFill="1" applyBorder="1" applyProtection="1"/>
    <xf numFmtId="0" fontId="2" fillId="0" borderId="16" xfId="2" applyFont="1" applyFill="1" applyBorder="1" applyProtection="1"/>
    <xf numFmtId="0" fontId="2" fillId="0" borderId="16" xfId="2" applyFont="1" applyFill="1" applyBorder="1" applyAlignment="1" applyProtection="1">
      <alignment horizontal="center"/>
    </xf>
    <xf numFmtId="0" fontId="2" fillId="0" borderId="0" xfId="0" applyFont="1" applyProtection="1"/>
    <xf numFmtId="0" fontId="4" fillId="0" borderId="0" xfId="0" applyFont="1" applyAlignment="1" applyProtection="1">
      <alignment horizontal="right"/>
    </xf>
    <xf numFmtId="0" fontId="10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right"/>
    </xf>
    <xf numFmtId="0" fontId="12" fillId="0" borderId="0" xfId="0" applyFont="1" applyBorder="1" applyAlignment="1" applyProtection="1">
      <alignment horizontal="right"/>
    </xf>
    <xf numFmtId="0" fontId="12" fillId="0" borderId="0" xfId="1" applyFont="1" applyBorder="1" applyAlignment="1" applyProtection="1">
      <alignment vertical="top"/>
    </xf>
    <xf numFmtId="0" fontId="10" fillId="0" borderId="0" xfId="1" applyFont="1" applyBorder="1" applyAlignment="1" applyProtection="1">
      <alignment wrapText="1"/>
    </xf>
    <xf numFmtId="0" fontId="9" fillId="0" borderId="0" xfId="0" applyFont="1" applyBorder="1" applyAlignment="1" applyProtection="1">
      <alignment horizontal="center"/>
    </xf>
    <xf numFmtId="0" fontId="13" fillId="0" borderId="0" xfId="0" applyFont="1" applyBorder="1" applyAlignment="1" applyProtection="1">
      <alignment horizontal="right"/>
    </xf>
    <xf numFmtId="0" fontId="13" fillId="0" borderId="0" xfId="0" applyFont="1" applyBorder="1" applyAlignment="1" applyProtection="1">
      <alignment horizontal="right" vertical="top"/>
    </xf>
    <xf numFmtId="0" fontId="4" fillId="0" borderId="11" xfId="0" applyFont="1" applyBorder="1" applyProtection="1"/>
    <xf numFmtId="0" fontId="4" fillId="0" borderId="0" xfId="0" applyFont="1" applyFill="1" applyBorder="1" applyProtection="1"/>
    <xf numFmtId="0" fontId="11" fillId="0" borderId="2" xfId="0" applyFont="1" applyBorder="1" applyAlignment="1" applyProtection="1">
      <alignment horizontal="center"/>
    </xf>
    <xf numFmtId="0" fontId="2" fillId="0" borderId="2" xfId="0" applyFont="1" applyBorder="1" applyProtection="1"/>
    <xf numFmtId="0" fontId="2" fillId="0" borderId="0" xfId="0" applyFont="1" applyAlignment="1" applyProtection="1">
      <alignment horizontal="center"/>
    </xf>
    <xf numFmtId="164" fontId="2" fillId="0" borderId="0" xfId="0" applyNumberFormat="1" applyFont="1" applyProtection="1"/>
    <xf numFmtId="0" fontId="4" fillId="0" borderId="0" xfId="1" applyFont="1" applyBorder="1" applyAlignment="1" applyProtection="1">
      <alignment horizontal="right" vertical="top"/>
    </xf>
    <xf numFmtId="0" fontId="12" fillId="0" borderId="0" xfId="1" applyFont="1" applyBorder="1" applyAlignment="1" applyProtection="1">
      <alignment horizontal="right" vertical="top"/>
    </xf>
    <xf numFmtId="0" fontId="2" fillId="0" borderId="0" xfId="0" applyFont="1" applyBorder="1" applyAlignment="1" applyProtection="1">
      <alignment horizontal="center"/>
    </xf>
    <xf numFmtId="164" fontId="4" fillId="3" borderId="13" xfId="1" applyNumberFormat="1" applyFont="1" applyFill="1" applyBorder="1" applyAlignment="1" applyProtection="1">
      <alignment wrapText="1"/>
    </xf>
    <xf numFmtId="0" fontId="14" fillId="0" borderId="0" xfId="0" applyFont="1" applyBorder="1" applyAlignment="1" applyProtection="1">
      <alignment horizontal="right"/>
    </xf>
    <xf numFmtId="0" fontId="4" fillId="0" borderId="18" xfId="0" applyFont="1" applyBorder="1" applyProtection="1"/>
    <xf numFmtId="0" fontId="4" fillId="0" borderId="19" xfId="0" applyFont="1" applyBorder="1" applyProtection="1"/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13" fillId="0" borderId="0" xfId="0" applyFont="1" applyProtection="1"/>
    <xf numFmtId="1" fontId="6" fillId="2" borderId="3" xfId="0" applyNumberFormat="1" applyFont="1" applyFill="1" applyBorder="1" applyAlignment="1" applyProtection="1">
      <alignment horizontal="center" wrapText="1"/>
      <protection locked="0"/>
    </xf>
    <xf numFmtId="164" fontId="4" fillId="3" borderId="2" xfId="0" applyNumberFormat="1" applyFont="1" applyFill="1" applyBorder="1" applyProtection="1"/>
    <xf numFmtId="164" fontId="8" fillId="3" borderId="3" xfId="0" applyNumberFormat="1" applyFont="1" applyFill="1" applyBorder="1" applyAlignment="1" applyProtection="1">
      <alignment horizontal="right"/>
    </xf>
    <xf numFmtId="165" fontId="4" fillId="0" borderId="0" xfId="0" applyNumberFormat="1" applyFont="1" applyBorder="1" applyProtection="1"/>
    <xf numFmtId="164" fontId="4" fillId="3" borderId="2" xfId="0" applyNumberFormat="1" applyFont="1" applyFill="1" applyBorder="1" applyAlignment="1" applyProtection="1">
      <alignment horizontal="right"/>
    </xf>
    <xf numFmtId="164" fontId="4" fillId="2" borderId="2" xfId="0" applyNumberFormat="1" applyFont="1" applyFill="1" applyBorder="1" applyAlignment="1" applyProtection="1">
      <protection locked="0"/>
    </xf>
    <xf numFmtId="164" fontId="4" fillId="2" borderId="13" xfId="0" applyNumberFormat="1" applyFont="1" applyFill="1" applyBorder="1" applyAlignment="1" applyProtection="1">
      <protection locked="0"/>
    </xf>
    <xf numFmtId="164" fontId="10" fillId="3" borderId="3" xfId="0" applyNumberFormat="1" applyFont="1" applyFill="1" applyBorder="1" applyAlignment="1" applyProtection="1"/>
    <xf numFmtId="0" fontId="2" fillId="0" borderId="2" xfId="0" applyFont="1" applyFill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165" fontId="2" fillId="0" borderId="16" xfId="2" applyNumberFormat="1" applyFont="1" applyFill="1" applyBorder="1" applyProtection="1"/>
    <xf numFmtId="0" fontId="10" fillId="0" borderId="0" xfId="0" applyFont="1" applyProtection="1"/>
    <xf numFmtId="0" fontId="7" fillId="0" borderId="0" xfId="0" applyFont="1" applyAlignment="1" applyProtection="1">
      <alignment horizontal="right"/>
    </xf>
    <xf numFmtId="0" fontId="2" fillId="0" borderId="13" xfId="2" applyFont="1" applyFill="1" applyBorder="1" applyAlignment="1" applyProtection="1">
      <alignment horizontal="center"/>
    </xf>
    <xf numFmtId="0" fontId="2" fillId="2" borderId="0" xfId="2" applyFont="1" applyFill="1" applyBorder="1" applyAlignment="1" applyProtection="1">
      <alignment horizontal="left"/>
    </xf>
    <xf numFmtId="0" fontId="0" fillId="0" borderId="0" xfId="0" applyAlignment="1">
      <alignment vertical="center"/>
    </xf>
    <xf numFmtId="0" fontId="4" fillId="0" borderId="0" xfId="0" applyFont="1" applyBorder="1" applyAlignment="1" applyProtection="1">
      <alignment horizontal="left"/>
    </xf>
    <xf numFmtId="164" fontId="4" fillId="0" borderId="0" xfId="0" applyNumberFormat="1" applyFont="1" applyProtection="1"/>
    <xf numFmtId="44" fontId="4" fillId="0" borderId="0" xfId="3" applyFont="1" applyProtection="1"/>
    <xf numFmtId="44" fontId="4" fillId="0" borderId="0" xfId="0" applyNumberFormat="1" applyFont="1" applyProtection="1"/>
    <xf numFmtId="0" fontId="4" fillId="0" borderId="0" xfId="3" applyNumberFormat="1" applyFont="1" applyProtection="1"/>
    <xf numFmtId="0" fontId="4" fillId="2" borderId="3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4" fillId="0" borderId="0" xfId="2" applyFont="1" applyFill="1" applyBorder="1" applyAlignment="1" applyProtection="1">
      <alignment horizontal="center"/>
    </xf>
    <xf numFmtId="44" fontId="4" fillId="0" borderId="0" xfId="2" applyNumberFormat="1" applyFont="1" applyFill="1" applyBorder="1" applyAlignment="1" applyProtection="1">
      <alignment horizontal="center"/>
    </xf>
    <xf numFmtId="44" fontId="6" fillId="0" borderId="0" xfId="3" applyFont="1" applyAlignment="1">
      <alignment vertical="center"/>
    </xf>
    <xf numFmtId="0" fontId="4" fillId="0" borderId="20" xfId="0" applyFont="1" applyBorder="1" applyProtection="1"/>
    <xf numFmtId="0" fontId="4" fillId="0" borderId="24" xfId="0" applyFont="1" applyBorder="1" applyProtection="1"/>
    <xf numFmtId="0" fontId="4" fillId="0" borderId="13" xfId="0" applyFont="1" applyBorder="1" applyAlignment="1" applyProtection="1">
      <alignment horizontal="center"/>
    </xf>
    <xf numFmtId="0" fontId="2" fillId="2" borderId="10" xfId="2" applyFont="1" applyFill="1" applyBorder="1" applyAlignment="1" applyProtection="1">
      <alignment horizontal="left"/>
    </xf>
    <xf numFmtId="0" fontId="2" fillId="0" borderId="17" xfId="2" applyFont="1" applyFill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3" fillId="0" borderId="7" xfId="0" applyFont="1" applyFill="1" applyBorder="1" applyAlignment="1">
      <alignment horizontal="center"/>
    </xf>
    <xf numFmtId="0" fontId="4" fillId="0" borderId="25" xfId="0" applyFont="1" applyBorder="1" applyProtection="1"/>
    <xf numFmtId="44" fontId="13" fillId="0" borderId="0" xfId="3" applyFont="1" applyProtection="1"/>
    <xf numFmtId="0" fontId="13" fillId="0" borderId="0" xfId="3" applyNumberFormat="1" applyFont="1" applyAlignment="1" applyProtection="1">
      <alignment horizontal="center"/>
    </xf>
    <xf numFmtId="0" fontId="4" fillId="4" borderId="21" xfId="0" applyFont="1" applyFill="1" applyBorder="1" applyAlignment="1" applyProtection="1">
      <alignment horizontal="center" vertical="center" wrapText="1"/>
    </xf>
    <xf numFmtId="0" fontId="4" fillId="4" borderId="22" xfId="0" applyFont="1" applyFill="1" applyBorder="1" applyAlignment="1" applyProtection="1">
      <alignment horizontal="center" vertical="center" wrapText="1"/>
    </xf>
    <xf numFmtId="0" fontId="4" fillId="4" borderId="23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0" fontId="7" fillId="4" borderId="4" xfId="0" applyFont="1" applyFill="1" applyBorder="1" applyAlignment="1" applyProtection="1">
      <alignment horizontal="center" wrapText="1"/>
    </xf>
    <xf numFmtId="0" fontId="5" fillId="4" borderId="5" xfId="0" applyFont="1" applyFill="1" applyBorder="1" applyAlignment="1" applyProtection="1">
      <alignment horizontal="center" wrapText="1"/>
    </xf>
    <xf numFmtId="0" fontId="4" fillId="4" borderId="6" xfId="0" applyFont="1" applyFill="1" applyBorder="1" applyAlignment="1" applyProtection="1">
      <alignment horizontal="center"/>
    </xf>
    <xf numFmtId="0" fontId="4" fillId="4" borderId="7" xfId="0" applyFont="1" applyFill="1" applyBorder="1" applyAlignment="1" applyProtection="1">
      <alignment horizontal="center"/>
    </xf>
    <xf numFmtId="0" fontId="2" fillId="4" borderId="8" xfId="0" applyFont="1" applyFill="1" applyBorder="1" applyAlignment="1" applyProtection="1">
      <alignment horizontal="center"/>
    </xf>
    <xf numFmtId="0" fontId="2" fillId="4" borderId="9" xfId="0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center" wrapText="1"/>
    </xf>
    <xf numFmtId="0" fontId="4" fillId="0" borderId="0" xfId="0" applyFont="1" applyAlignment="1" applyProtection="1">
      <alignment horizontal="center" vertical="top"/>
    </xf>
    <xf numFmtId="0" fontId="4" fillId="0" borderId="0" xfId="0" applyFont="1" applyAlignment="1" applyProtection="1">
      <alignment horizontal="right"/>
    </xf>
  </cellXfs>
  <cellStyles count="4">
    <cellStyle name="Currency" xfId="3" builtinId="4"/>
    <cellStyle name="Heading 2" xfId="1" builtinId="17"/>
    <cellStyle name="Normal" xfId="0" builtinId="0"/>
    <cellStyle name="Normal 2" xfId="2"/>
  </cellStyles>
  <dxfs count="5">
    <dxf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19049</xdr:colOff>
      <xdr:row>1</xdr:row>
      <xdr:rowOff>243840</xdr:rowOff>
    </xdr:from>
    <xdr:to>
      <xdr:col>3</xdr:col>
      <xdr:colOff>1943981</xdr:colOff>
      <xdr:row>4</xdr:row>
      <xdr:rowOff>151945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849" y="427990"/>
          <a:ext cx="2172582" cy="587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2"/>
  <sheetViews>
    <sheetView showGridLines="0" showRowColHeaders="0" tabSelected="1" zoomScale="90" zoomScaleNormal="90" workbookViewId="0">
      <selection activeCell="E8" sqref="E8"/>
    </sheetView>
  </sheetViews>
  <sheetFormatPr defaultColWidth="5.44140625" defaultRowHeight="13.8" zeroHeight="1" x14ac:dyDescent="0.25"/>
  <cols>
    <col min="1" max="1" width="3.6640625" style="9" customWidth="1"/>
    <col min="2" max="2" width="2.6640625" style="9" customWidth="1"/>
    <col min="3" max="3" width="3.6640625" style="9" customWidth="1"/>
    <col min="4" max="4" width="31.44140625" style="9" customWidth="1"/>
    <col min="5" max="5" width="26" style="9" customWidth="1"/>
    <col min="6" max="8" width="3.6640625" style="9" customWidth="1"/>
    <col min="9" max="9" width="3.6640625" style="18" customWidth="1"/>
    <col min="10" max="10" width="29.88671875" style="9" hidden="1" customWidth="1"/>
    <col min="11" max="11" width="20.5546875" style="9" hidden="1" customWidth="1"/>
    <col min="12" max="12" width="19" style="9" hidden="1" customWidth="1"/>
    <col min="13" max="13" width="17.109375" style="9" hidden="1" customWidth="1"/>
    <col min="14" max="14" width="14.6640625" style="9" hidden="1" customWidth="1"/>
    <col min="15" max="15" width="16.33203125" style="9" hidden="1" customWidth="1"/>
    <col min="16" max="16" width="15.6640625" style="9" hidden="1" customWidth="1"/>
    <col min="17" max="17" width="20.109375" style="9" hidden="1" customWidth="1"/>
    <col min="18" max="18" width="8.5546875" style="9" hidden="1" customWidth="1"/>
    <col min="19" max="19" width="7" style="9" hidden="1" customWidth="1"/>
    <col min="20" max="20" width="17.88671875" style="9" customWidth="1"/>
    <col min="21" max="16378" width="5.44140625" style="9"/>
    <col min="16379" max="16384" width="1.5546875" style="9" customWidth="1"/>
  </cols>
  <sheetData>
    <row r="1" spans="1:17" x14ac:dyDescent="0.25">
      <c r="B1" s="11"/>
      <c r="C1" s="11"/>
      <c r="D1" s="11"/>
      <c r="E1" s="11"/>
      <c r="F1" s="11"/>
      <c r="K1" s="9" t="s">
        <v>58</v>
      </c>
      <c r="L1" s="8" t="s">
        <v>45</v>
      </c>
      <c r="M1" s="8" t="s">
        <v>44</v>
      </c>
      <c r="O1" s="5" t="s">
        <v>40</v>
      </c>
      <c r="P1" s="9">
        <v>0</v>
      </c>
    </row>
    <row r="2" spans="1:17" ht="19.95" customHeight="1" thickBot="1" x14ac:dyDescent="0.3">
      <c r="A2" s="12"/>
      <c r="G2" s="88"/>
      <c r="H2" s="18"/>
      <c r="K2" s="9" t="s">
        <v>55</v>
      </c>
      <c r="L2" s="8" t="s">
        <v>15</v>
      </c>
      <c r="M2" s="39" t="s">
        <v>42</v>
      </c>
      <c r="N2" s="38"/>
      <c r="O2" s="5" t="s">
        <v>4</v>
      </c>
      <c r="P2" s="38">
        <v>1</v>
      </c>
      <c r="Q2" s="38"/>
    </row>
    <row r="3" spans="1:17" ht="19.2" x14ac:dyDescent="0.35">
      <c r="A3" s="12"/>
      <c r="E3" s="95" t="s">
        <v>36</v>
      </c>
      <c r="F3" s="96"/>
      <c r="G3" s="12"/>
      <c r="H3" s="18"/>
      <c r="K3" s="8" t="s">
        <v>56</v>
      </c>
      <c r="L3" s="8" t="s">
        <v>16</v>
      </c>
      <c r="M3" s="5" t="s">
        <v>43</v>
      </c>
      <c r="N3" s="38"/>
      <c r="O3" s="5" t="s">
        <v>5</v>
      </c>
      <c r="P3" s="38">
        <v>2</v>
      </c>
      <c r="Q3" s="38"/>
    </row>
    <row r="4" spans="1:17" x14ac:dyDescent="0.25">
      <c r="A4" s="12"/>
      <c r="E4" s="97" t="s">
        <v>33</v>
      </c>
      <c r="F4" s="98"/>
      <c r="G4" s="12"/>
      <c r="H4" s="18"/>
      <c r="K4" s="9" t="s">
        <v>52</v>
      </c>
      <c r="L4" s="13" t="s">
        <v>37</v>
      </c>
      <c r="M4" s="66" t="s">
        <v>37</v>
      </c>
      <c r="N4" s="38"/>
      <c r="O4" s="5" t="s">
        <v>6</v>
      </c>
      <c r="P4" s="38">
        <v>3</v>
      </c>
      <c r="Q4" s="38"/>
    </row>
    <row r="5" spans="1:17" ht="14.4" thickBot="1" x14ac:dyDescent="0.3">
      <c r="A5" s="12"/>
      <c r="E5" s="99" t="s">
        <v>34</v>
      </c>
      <c r="F5" s="100"/>
      <c r="G5" s="12"/>
      <c r="H5" s="18"/>
      <c r="J5" s="9" t="s">
        <v>47</v>
      </c>
      <c r="K5" s="71">
        <f>L5+M5</f>
        <v>0</v>
      </c>
      <c r="L5" s="18">
        <f>IF(E11=L2,0,IF(E11=L3,N31,IF(E11=L4,N29,0)))</f>
        <v>0</v>
      </c>
      <c r="M5" s="18">
        <f>IF(OR(E12=M2,E12=M3),N30,IF(E12=M4,N29,0))</f>
        <v>0</v>
      </c>
      <c r="O5" s="5" t="s">
        <v>7</v>
      </c>
      <c r="P5" s="9">
        <v>4</v>
      </c>
    </row>
    <row r="6" spans="1:17" ht="24.75" customHeight="1" x14ac:dyDescent="0.25">
      <c r="A6" s="12"/>
      <c r="C6" s="101" t="s">
        <v>71</v>
      </c>
      <c r="D6" s="101"/>
      <c r="E6" s="101"/>
      <c r="F6" s="101"/>
      <c r="G6" s="12"/>
      <c r="H6" s="18"/>
      <c r="J6" s="9" t="s">
        <v>46</v>
      </c>
      <c r="K6" s="71">
        <f>L6+M6</f>
        <v>0</v>
      </c>
      <c r="L6" s="68">
        <f>IF(E11=L2,0,IF(E11=L3,P30,IF(E11=L4,P29,0)))</f>
        <v>0</v>
      </c>
      <c r="M6" s="68">
        <f>IF(OR(E12=M2,E12=M3),P30,IF(E12=M4,P29,0))</f>
        <v>0</v>
      </c>
      <c r="O6" s="5" t="s">
        <v>8</v>
      </c>
      <c r="P6" s="9">
        <v>5</v>
      </c>
    </row>
    <row r="7" spans="1:17" ht="24.75" customHeight="1" thickBot="1" x14ac:dyDescent="0.3">
      <c r="A7" s="12"/>
      <c r="C7" s="102" t="s">
        <v>72</v>
      </c>
      <c r="D7" s="102"/>
      <c r="E7" s="102"/>
      <c r="F7" s="102"/>
      <c r="G7" s="12"/>
      <c r="H7" s="18"/>
      <c r="J7" s="69" t="s">
        <v>48</v>
      </c>
      <c r="K7" s="71">
        <f>L7+M7</f>
        <v>0</v>
      </c>
      <c r="L7" s="9">
        <f>IF(L6=P31,Q32/8*E14,IF(L6=P29,Q32/4*E14,0))</f>
        <v>0</v>
      </c>
      <c r="M7" s="68">
        <f>IF(M6=P31,Q32/8*E14,IF(M6=P29,Q32/4*E14,0))</f>
        <v>0</v>
      </c>
      <c r="O7" s="5" t="s">
        <v>9</v>
      </c>
    </row>
    <row r="8" spans="1:17" ht="20.100000000000001" customHeight="1" thickBot="1" x14ac:dyDescent="0.35">
      <c r="A8" s="12"/>
      <c r="C8" s="65" t="str">
        <f>"1."</f>
        <v>1.</v>
      </c>
      <c r="D8" s="64" t="s">
        <v>57</v>
      </c>
      <c r="E8" s="74" t="s">
        <v>58</v>
      </c>
      <c r="F8" s="13"/>
      <c r="G8" s="12"/>
      <c r="H8" s="18"/>
      <c r="J8" s="9" t="s">
        <v>49</v>
      </c>
      <c r="K8" s="71" t="str">
        <f>IF(E10=O1,"",L8)</f>
        <v/>
      </c>
      <c r="L8" s="73">
        <f>IF(OR(E10=J28,E10=J19),0,VLOOKUP(E10,J20:Q27,4,FALSE))</f>
        <v>0</v>
      </c>
      <c r="M8" s="9" t="e">
        <f>IF(E8=K2,1,VLOOKUP(E10,J20:R28,9,FALSE))</f>
        <v>#N/A</v>
      </c>
      <c r="O8" s="5" t="s">
        <v>10</v>
      </c>
    </row>
    <row r="9" spans="1:17" ht="20.100000000000001" customHeight="1" thickBot="1" x14ac:dyDescent="0.3">
      <c r="A9" s="12"/>
      <c r="G9" s="12"/>
      <c r="H9" s="18"/>
      <c r="J9" s="9" t="s">
        <v>50</v>
      </c>
      <c r="K9" s="71" t="str">
        <f>IF(E10=O1,"",L9)</f>
        <v/>
      </c>
      <c r="L9" s="77">
        <f>IF(OR(E10=J28,E10=J19),0,VLOOKUP(E10,J20:Q27,6,FALSE))</f>
        <v>0</v>
      </c>
      <c r="M9" s="76" t="e">
        <f>IF(E8=K2,1,VLOOKUP(E10,J20:R28,9,FALSE))</f>
        <v>#N/A</v>
      </c>
      <c r="O9" s="5" t="s">
        <v>11</v>
      </c>
    </row>
    <row r="10" spans="1:17" ht="20.100000000000001" customHeight="1" thickBot="1" x14ac:dyDescent="0.3">
      <c r="A10" s="12"/>
      <c r="C10" s="14" t="str">
        <f>"2."</f>
        <v>2.</v>
      </c>
      <c r="D10" s="15" t="s">
        <v>14</v>
      </c>
      <c r="E10" s="50" t="s">
        <v>40</v>
      </c>
      <c r="G10" s="12"/>
      <c r="H10" s="18"/>
      <c r="J10" s="9" t="s">
        <v>51</v>
      </c>
      <c r="K10" s="71" t="str">
        <f>IF(E10=O1,"",L10)</f>
        <v/>
      </c>
      <c r="L10" s="70">
        <f>IF(E10=O10,0,E14*Q32)</f>
        <v>0</v>
      </c>
      <c r="M10" s="76" t="e">
        <f>IF(E8=K2,1,VLOOKUP(E10,J20:R28,9,FALSE))</f>
        <v>#N/A</v>
      </c>
      <c r="O10" s="8" t="s">
        <v>41</v>
      </c>
    </row>
    <row r="11" spans="1:17" ht="20.100000000000001" customHeight="1" x14ac:dyDescent="0.3">
      <c r="A11" s="12"/>
      <c r="D11" s="64" t="str">
        <f>IF(OR(E10=J28,E10=J19),"","Will you begin in Summer?")</f>
        <v/>
      </c>
      <c r="E11" s="75"/>
      <c r="F11" s="16"/>
      <c r="G11" s="12"/>
      <c r="H11" s="18"/>
      <c r="J11" s="45" t="s">
        <v>65</v>
      </c>
      <c r="K11" s="80" t="str">
        <f>IF(OR(E8=K1,E10=O1),"",K5+K8)</f>
        <v/>
      </c>
      <c r="M11" s="78" t="s">
        <v>35</v>
      </c>
    </row>
    <row r="12" spans="1:17" ht="20.100000000000001" customHeight="1" x14ac:dyDescent="0.3">
      <c r="A12" s="12"/>
      <c r="D12" s="64" t="str">
        <f>IF(E10=J28,"Which terms?","")</f>
        <v/>
      </c>
      <c r="E12" s="51"/>
      <c r="F12" s="17"/>
      <c r="G12" s="12"/>
      <c r="H12" s="18"/>
      <c r="J12" s="23" t="s">
        <v>66</v>
      </c>
      <c r="K12" s="80" t="str">
        <f>IF(OR(E8=K1,E10=O1),"",K6+K9)</f>
        <v/>
      </c>
      <c r="M12" s="78" t="s">
        <v>54</v>
      </c>
    </row>
    <row r="13" spans="1:17" ht="15" customHeight="1" thickBot="1" x14ac:dyDescent="0.3">
      <c r="A13" s="12"/>
      <c r="D13" s="23"/>
      <c r="E13" s="17"/>
      <c r="G13" s="12"/>
      <c r="H13" s="18"/>
      <c r="J13" s="18" t="s">
        <v>67</v>
      </c>
      <c r="K13" s="80" t="str">
        <f>IF(OR(E8=K1,E10=O1),"",K7+K10)</f>
        <v/>
      </c>
      <c r="L13" s="83" t="s">
        <v>68</v>
      </c>
    </row>
    <row r="14" spans="1:17" ht="20.100000000000001" customHeight="1" thickBot="1" x14ac:dyDescent="0.3">
      <c r="A14" s="12"/>
      <c r="C14" s="14" t="str">
        <f>"3."</f>
        <v>3.</v>
      </c>
      <c r="D14" s="19" t="s">
        <v>13</v>
      </c>
      <c r="E14" s="53">
        <v>0</v>
      </c>
      <c r="G14" s="12"/>
      <c r="H14" s="18"/>
      <c r="J14" s="9" t="s">
        <v>62</v>
      </c>
      <c r="K14" s="72">
        <f>K5+L14</f>
        <v>0</v>
      </c>
      <c r="L14" s="81" t="b">
        <f>IF(E8=K3,L8*M8)</f>
        <v>0</v>
      </c>
    </row>
    <row r="15" spans="1:17" ht="20.100000000000001" customHeight="1" x14ac:dyDescent="0.3">
      <c r="A15" s="12"/>
      <c r="C15" s="65"/>
      <c r="G15" s="12"/>
      <c r="H15" s="18"/>
      <c r="J15" s="9" t="s">
        <v>64</v>
      </c>
      <c r="K15" s="72">
        <f>K6+L15</f>
        <v>0</v>
      </c>
      <c r="L15" s="81" t="b">
        <f>IF(E8=K3,L9*M9)</f>
        <v>0</v>
      </c>
    </row>
    <row r="16" spans="1:17" ht="20.100000000000001" customHeight="1" x14ac:dyDescent="0.3">
      <c r="A16" s="12"/>
      <c r="C16" s="14"/>
      <c r="D16" s="29" t="s">
        <v>70</v>
      </c>
      <c r="E16" s="17"/>
      <c r="G16" s="12"/>
      <c r="H16" s="18"/>
      <c r="J16" s="9" t="s">
        <v>63</v>
      </c>
      <c r="K16" s="79">
        <f>K7+L16</f>
        <v>0</v>
      </c>
      <c r="L16" s="82" t="b">
        <f>IF(E8=K3,L10*M10)</f>
        <v>0</v>
      </c>
    </row>
    <row r="17" spans="1:19" ht="15" customHeight="1" x14ac:dyDescent="0.25">
      <c r="A17" s="12"/>
      <c r="D17" s="18"/>
      <c r="E17" s="30"/>
      <c r="G17" s="12"/>
      <c r="H17" s="18"/>
      <c r="J17" s="9" t="s">
        <v>69</v>
      </c>
      <c r="K17" s="72">
        <f>SUM(K14:K16)</f>
        <v>0</v>
      </c>
    </row>
    <row r="18" spans="1:19" ht="20.100000000000001" customHeight="1" x14ac:dyDescent="0.25">
      <c r="A18" s="12"/>
      <c r="D18" s="30" t="s">
        <v>2</v>
      </c>
      <c r="E18" s="57" t="str">
        <f>IF(K11=0,"",K11)</f>
        <v/>
      </c>
      <c r="G18" s="12"/>
      <c r="H18" s="18"/>
      <c r="J18" s="84" t="s">
        <v>0</v>
      </c>
      <c r="K18" s="67"/>
      <c r="L18" s="20"/>
      <c r="M18" s="21" t="s">
        <v>1</v>
      </c>
      <c r="N18" s="22"/>
      <c r="O18" s="22"/>
      <c r="P18" s="22"/>
      <c r="Q18" s="22"/>
    </row>
    <row r="19" spans="1:19" ht="20.100000000000001" customHeight="1" x14ac:dyDescent="0.25">
      <c r="A19" s="12"/>
      <c r="D19" s="28" t="s">
        <v>26</v>
      </c>
      <c r="E19" s="54" t="str">
        <f>IF(K12=0,"",K12)</f>
        <v/>
      </c>
      <c r="G19" s="12"/>
      <c r="H19" s="18"/>
      <c r="J19" s="85" t="s">
        <v>40</v>
      </c>
      <c r="K19" s="5" t="s">
        <v>29</v>
      </c>
      <c r="L19" s="5" t="s">
        <v>22</v>
      </c>
      <c r="M19" s="24" t="s">
        <v>20</v>
      </c>
      <c r="N19" s="24" t="s">
        <v>17</v>
      </c>
      <c r="O19" s="24" t="s">
        <v>21</v>
      </c>
      <c r="P19" s="25" t="s">
        <v>18</v>
      </c>
      <c r="Q19" s="26" t="s">
        <v>3</v>
      </c>
      <c r="R19" s="9" t="s">
        <v>59</v>
      </c>
    </row>
    <row r="20" spans="1:19" ht="20.100000000000001" customHeight="1" thickBot="1" x14ac:dyDescent="0.35">
      <c r="A20" s="12"/>
      <c r="C20" s="31"/>
      <c r="D20" s="43" t="s">
        <v>27</v>
      </c>
      <c r="E20" s="46" t="str">
        <f>IF(K13=0,"",K13)</f>
        <v/>
      </c>
      <c r="F20" s="30"/>
      <c r="G20" s="12"/>
      <c r="H20" s="18"/>
      <c r="J20" s="85" t="s">
        <v>4</v>
      </c>
      <c r="K20" s="5">
        <v>9</v>
      </c>
      <c r="L20" s="5" t="s">
        <v>23</v>
      </c>
      <c r="M20" s="2">
        <v>45000</v>
      </c>
      <c r="N20" s="4">
        <f>M20/3</f>
        <v>15000</v>
      </c>
      <c r="O20" s="2">
        <v>19000</v>
      </c>
      <c r="P20" s="3">
        <f>O20/3</f>
        <v>6333.333333333333</v>
      </c>
      <c r="Q20" s="3">
        <f>M20+O20</f>
        <v>64000</v>
      </c>
      <c r="R20" s="10">
        <v>5</v>
      </c>
      <c r="S20" s="9">
        <v>5</v>
      </c>
    </row>
    <row r="21" spans="1:19" ht="20.100000000000001" customHeight="1" thickBot="1" x14ac:dyDescent="0.35">
      <c r="A21" s="12"/>
      <c r="C21" s="18"/>
      <c r="D21" s="44" t="s">
        <v>28</v>
      </c>
      <c r="E21" s="55">
        <f>SUM(E18:E20)</f>
        <v>0</v>
      </c>
      <c r="F21" s="30"/>
      <c r="G21" s="12"/>
      <c r="H21" s="18"/>
      <c r="J21" s="85" t="s">
        <v>6</v>
      </c>
      <c r="K21" s="5">
        <v>12</v>
      </c>
      <c r="L21" s="5" t="s">
        <v>23</v>
      </c>
      <c r="M21" s="2">
        <v>33000</v>
      </c>
      <c r="N21" s="4">
        <f>M21/3</f>
        <v>11000</v>
      </c>
      <c r="O21" s="2">
        <v>24000</v>
      </c>
      <c r="P21" s="3">
        <f>O21/4</f>
        <v>6000</v>
      </c>
      <c r="Q21" s="3">
        <f>M21+O21</f>
        <v>57000</v>
      </c>
      <c r="R21" s="10">
        <v>6</v>
      </c>
      <c r="S21" s="9">
        <v>6</v>
      </c>
    </row>
    <row r="22" spans="1:19" ht="20.100000000000001" customHeight="1" x14ac:dyDescent="0.25">
      <c r="A22" s="12"/>
      <c r="C22" s="18"/>
      <c r="D22" s="32"/>
      <c r="E22" s="18"/>
      <c r="F22" s="28"/>
      <c r="G22" s="12"/>
      <c r="H22" s="18"/>
      <c r="J22" s="85" t="s">
        <v>5</v>
      </c>
      <c r="K22" s="5">
        <v>12</v>
      </c>
      <c r="L22" s="5" t="s">
        <v>23</v>
      </c>
      <c r="M22" s="2">
        <v>33000</v>
      </c>
      <c r="N22" s="4">
        <f>M22/3</f>
        <v>11000</v>
      </c>
      <c r="O22" s="2">
        <v>24000</v>
      </c>
      <c r="P22" s="3">
        <f>O22/4</f>
        <v>6000</v>
      </c>
      <c r="Q22" s="3">
        <f>M22+O22</f>
        <v>57000</v>
      </c>
      <c r="R22" s="10">
        <v>3</v>
      </c>
      <c r="S22" s="9">
        <v>3</v>
      </c>
    </row>
    <row r="23" spans="1:19" ht="20.100000000000001" customHeight="1" x14ac:dyDescent="0.25">
      <c r="A23" s="12"/>
      <c r="C23" s="14" t="str">
        <f>"4."</f>
        <v>4.</v>
      </c>
      <c r="D23" s="52" t="s">
        <v>61</v>
      </c>
      <c r="G23" s="12"/>
      <c r="H23" s="18"/>
      <c r="J23" s="85" t="s">
        <v>7</v>
      </c>
      <c r="K23" s="5">
        <v>12</v>
      </c>
      <c r="L23" s="5" t="s">
        <v>23</v>
      </c>
      <c r="M23" s="2">
        <v>224000</v>
      </c>
      <c r="N23" s="4">
        <f t="shared" ref="N23" si="0">M23/3</f>
        <v>74666.666666666672</v>
      </c>
      <c r="O23" s="2">
        <v>88000</v>
      </c>
      <c r="P23" s="3">
        <f>O23/4</f>
        <v>22000</v>
      </c>
      <c r="Q23" s="3">
        <f t="shared" ref="Q23" si="1">M23+O23</f>
        <v>312000</v>
      </c>
      <c r="R23" s="10">
        <v>1</v>
      </c>
      <c r="S23" s="9">
        <v>4</v>
      </c>
    </row>
    <row r="24" spans="1:19" ht="15" customHeight="1" x14ac:dyDescent="0.3">
      <c r="A24" s="12"/>
      <c r="C24" s="35"/>
      <c r="D24" s="16"/>
      <c r="E24" s="16"/>
      <c r="F24" s="33"/>
      <c r="G24" s="12"/>
      <c r="H24" s="18"/>
      <c r="J24" s="85" t="s">
        <v>8</v>
      </c>
      <c r="K24" s="5">
        <v>12</v>
      </c>
      <c r="L24" s="5" t="s">
        <v>23</v>
      </c>
      <c r="M24" s="2">
        <v>42000</v>
      </c>
      <c r="N24" s="4">
        <f>M24/3</f>
        <v>14000</v>
      </c>
      <c r="O24" s="2">
        <v>23000</v>
      </c>
      <c r="P24" s="3">
        <f>O24/4</f>
        <v>5750</v>
      </c>
      <c r="Q24" s="3">
        <f>M24+O24</f>
        <v>65000</v>
      </c>
      <c r="R24" s="10">
        <v>1</v>
      </c>
      <c r="S24" s="9">
        <v>1</v>
      </c>
    </row>
    <row r="25" spans="1:19" ht="20.100000000000001" customHeight="1" x14ac:dyDescent="0.25">
      <c r="A25" s="12"/>
      <c r="C25" s="16"/>
      <c r="D25" s="30" t="s">
        <v>30</v>
      </c>
      <c r="E25" s="58"/>
      <c r="F25" s="34"/>
      <c r="G25" s="12"/>
      <c r="H25" s="18"/>
      <c r="J25" s="85" t="s">
        <v>9</v>
      </c>
      <c r="K25" s="5">
        <v>12</v>
      </c>
      <c r="L25" s="5" t="s">
        <v>24</v>
      </c>
      <c r="M25" s="2">
        <v>40000</v>
      </c>
      <c r="N25" s="4">
        <f>M25/2</f>
        <v>20000</v>
      </c>
      <c r="O25" s="2">
        <v>19000</v>
      </c>
      <c r="P25" s="63">
        <f>O25/12*4.5</f>
        <v>7125</v>
      </c>
      <c r="Q25" s="3">
        <f>M25+O25</f>
        <v>59000</v>
      </c>
      <c r="R25" s="10">
        <v>1.5</v>
      </c>
      <c r="S25" s="9">
        <v>1.5</v>
      </c>
    </row>
    <row r="26" spans="1:19" ht="20.100000000000001" customHeight="1" x14ac:dyDescent="0.25">
      <c r="A26" s="12"/>
      <c r="C26" s="16"/>
      <c r="D26" s="30" t="s">
        <v>31</v>
      </c>
      <c r="E26" s="58"/>
      <c r="F26" s="18"/>
      <c r="G26" s="12"/>
      <c r="H26" s="18"/>
      <c r="J26" s="85" t="s">
        <v>10</v>
      </c>
      <c r="K26" s="5">
        <v>12</v>
      </c>
      <c r="L26" s="5" t="s">
        <v>23</v>
      </c>
      <c r="M26" s="2">
        <v>41000</v>
      </c>
      <c r="N26" s="4">
        <f>M26/3</f>
        <v>13666.666666666666</v>
      </c>
      <c r="O26" s="2">
        <v>19000</v>
      </c>
      <c r="P26" s="3">
        <f>O26/4</f>
        <v>4750</v>
      </c>
      <c r="Q26" s="3">
        <f>M26+O26</f>
        <v>60000</v>
      </c>
      <c r="R26" s="10">
        <v>3</v>
      </c>
      <c r="S26" s="9">
        <v>3</v>
      </c>
    </row>
    <row r="27" spans="1:19" ht="20.100000000000001" customHeight="1" x14ac:dyDescent="0.25">
      <c r="A27" s="12"/>
      <c r="C27" s="36"/>
      <c r="D27" s="30" t="s">
        <v>60</v>
      </c>
      <c r="E27" s="58"/>
      <c r="G27" s="12"/>
      <c r="H27" s="18"/>
      <c r="J27" s="85" t="s">
        <v>11</v>
      </c>
      <c r="K27" s="5">
        <v>12</v>
      </c>
      <c r="L27" s="5" t="s">
        <v>23</v>
      </c>
      <c r="M27" s="2">
        <v>33000</v>
      </c>
      <c r="N27" s="4">
        <f>M27/3</f>
        <v>11000</v>
      </c>
      <c r="O27" s="2">
        <v>24000</v>
      </c>
      <c r="P27" s="3">
        <f>O27/4</f>
        <v>6000</v>
      </c>
      <c r="Q27" s="3">
        <f>M27+O27</f>
        <v>57000</v>
      </c>
      <c r="R27" s="10">
        <v>6</v>
      </c>
      <c r="S27" s="9">
        <v>6</v>
      </c>
    </row>
    <row r="28" spans="1:19" ht="20.100000000000001" customHeight="1" thickBot="1" x14ac:dyDescent="0.3">
      <c r="A28" s="12"/>
      <c r="C28" s="36"/>
      <c r="D28" s="28" t="s">
        <v>53</v>
      </c>
      <c r="E28" s="59"/>
      <c r="F28" s="16"/>
      <c r="G28" s="12"/>
      <c r="H28" s="18"/>
      <c r="J28" s="8" t="s">
        <v>41</v>
      </c>
      <c r="R28" s="9">
        <v>0</v>
      </c>
    </row>
    <row r="29" spans="1:19" ht="20.100000000000001" customHeight="1" thickBot="1" x14ac:dyDescent="0.35">
      <c r="A29" s="12"/>
      <c r="C29" s="18"/>
      <c r="D29" s="30" t="s">
        <v>32</v>
      </c>
      <c r="E29" s="60">
        <f>SUM(E25:E28)</f>
        <v>0</v>
      </c>
      <c r="F29" s="16"/>
      <c r="G29" s="12"/>
      <c r="H29" s="18"/>
      <c r="J29" s="86" t="s">
        <v>37</v>
      </c>
      <c r="K29" s="62">
        <v>9</v>
      </c>
      <c r="L29" s="41" t="s">
        <v>19</v>
      </c>
      <c r="M29" s="40"/>
      <c r="N29" s="42">
        <f>N30*2</f>
        <v>5000</v>
      </c>
      <c r="O29" s="27"/>
      <c r="P29" s="42">
        <f>P30*2</f>
        <v>7000</v>
      </c>
      <c r="Q29" s="42">
        <f>Q30*2</f>
        <v>12000</v>
      </c>
    </row>
    <row r="30" spans="1:19" ht="20.100000000000001" customHeight="1" x14ac:dyDescent="0.25">
      <c r="A30" s="12"/>
      <c r="C30" s="18"/>
      <c r="D30" s="47" t="str">
        <f>IF(E8=K2,IF(E29&lt;E21,M12,M11),"")</f>
        <v/>
      </c>
      <c r="E30" s="56" t="str">
        <f>IF(E21-E29&gt;0,E21-E29,"")</f>
        <v/>
      </c>
      <c r="F30" s="16"/>
      <c r="G30" s="12"/>
      <c r="H30" s="18"/>
      <c r="J30" s="85" t="s">
        <v>38</v>
      </c>
      <c r="K30" s="5">
        <v>9</v>
      </c>
      <c r="L30" s="5" t="s">
        <v>25</v>
      </c>
      <c r="M30" s="2"/>
      <c r="N30" s="6">
        <v>2500</v>
      </c>
      <c r="O30" s="7"/>
      <c r="P30" s="1">
        <v>3500</v>
      </c>
      <c r="Q30" s="1">
        <f>N30+P30</f>
        <v>6000</v>
      </c>
    </row>
    <row r="31" spans="1:19" ht="27.75" customHeight="1" x14ac:dyDescent="0.25">
      <c r="A31" s="18"/>
      <c r="B31" s="48"/>
      <c r="C31" s="94" t="str">
        <f>IF(E8=K3,"The length on the DS-2019 is determined by the financials submitted.","")</f>
        <v/>
      </c>
      <c r="D31" s="94"/>
      <c r="E31" s="94"/>
      <c r="F31" s="94"/>
      <c r="G31" s="12"/>
      <c r="H31" s="18"/>
      <c r="J31" s="85" t="s">
        <v>39</v>
      </c>
      <c r="K31" s="5">
        <v>9</v>
      </c>
      <c r="L31" s="5" t="s">
        <v>25</v>
      </c>
      <c r="M31" s="2"/>
      <c r="N31" s="6">
        <v>2500</v>
      </c>
      <c r="O31" s="7"/>
      <c r="P31" s="1">
        <v>3500</v>
      </c>
      <c r="Q31" s="1">
        <f>N31+P31</f>
        <v>6000</v>
      </c>
    </row>
    <row r="32" spans="1:19" ht="20.100000000000001" customHeight="1" x14ac:dyDescent="0.25">
      <c r="B32" s="48"/>
      <c r="C32" s="94" t="str">
        <f>IF(C31&lt;&gt;"","It can be extended with additional funding as needed.","")</f>
        <v/>
      </c>
      <c r="D32" s="94"/>
      <c r="E32" s="94"/>
      <c r="F32" s="94"/>
      <c r="G32" s="12"/>
      <c r="H32" s="18"/>
      <c r="J32" s="87"/>
      <c r="K32" s="37"/>
      <c r="L32" s="10"/>
      <c r="M32" s="2"/>
      <c r="N32" s="61" t="s">
        <v>12</v>
      </c>
      <c r="O32" s="2">
        <v>6000</v>
      </c>
      <c r="P32" s="3">
        <f t="shared" ref="P32" si="2">O32/4</f>
        <v>1500</v>
      </c>
      <c r="Q32" s="3">
        <v>6000</v>
      </c>
    </row>
    <row r="33" spans="2:8" ht="20.100000000000001" customHeight="1" x14ac:dyDescent="0.25">
      <c r="B33" s="48"/>
      <c r="C33" s="103" t="str">
        <f>IF(E8=K3,"Your anticipated program total is:","")</f>
        <v/>
      </c>
      <c r="D33" s="103"/>
      <c r="E33" s="89" t="str">
        <f>IF(AND(E8=K3,K17&lt;&gt;""),K17,"")</f>
        <v/>
      </c>
      <c r="G33" s="12"/>
      <c r="H33" s="18"/>
    </row>
    <row r="34" spans="2:8" ht="20.100000000000001" customHeight="1" x14ac:dyDescent="0.25">
      <c r="B34" s="48"/>
      <c r="C34" s="103" t="str">
        <f>IF(E8=K3," Number of years reflected in total:","")</f>
        <v/>
      </c>
      <c r="D34" s="103"/>
      <c r="E34" s="90" t="str">
        <f>IF(AND(E8=K3,E10&lt;&gt;O1),VLOOKUP(E10,J20:S27,10),"")</f>
        <v/>
      </c>
      <c r="G34" s="12"/>
      <c r="H34" s="18"/>
    </row>
    <row r="35" spans="2:8" ht="14.4" thickBot="1" x14ac:dyDescent="0.3">
      <c r="B35" s="48"/>
      <c r="G35" s="12"/>
      <c r="H35" s="18"/>
    </row>
    <row r="36" spans="2:8" ht="67.5" customHeight="1" thickBot="1" x14ac:dyDescent="0.3">
      <c r="B36" s="48"/>
      <c r="C36" s="91" t="s">
        <v>73</v>
      </c>
      <c r="D36" s="92"/>
      <c r="E36" s="92"/>
      <c r="F36" s="93"/>
      <c r="G36" s="12"/>
      <c r="H36" s="18"/>
    </row>
    <row r="37" spans="2:8" x14ac:dyDescent="0.25">
      <c r="B37" s="49"/>
      <c r="C37" s="11"/>
      <c r="D37" s="11"/>
      <c r="E37" s="11"/>
      <c r="F37" s="11"/>
      <c r="G37" s="37"/>
    </row>
    <row r="38" spans="2:8" x14ac:dyDescent="0.25"/>
    <row r="39" spans="2:8" x14ac:dyDescent="0.25"/>
    <row r="40" spans="2:8" x14ac:dyDescent="0.25"/>
    <row r="41" spans="2:8" x14ac:dyDescent="0.25"/>
    <row r="42" spans="2:8" x14ac:dyDescent="0.25"/>
    <row r="43" spans="2:8" x14ac:dyDescent="0.25"/>
    <row r="44" spans="2:8" x14ac:dyDescent="0.25"/>
    <row r="45" spans="2:8" x14ac:dyDescent="0.25"/>
    <row r="46" spans="2:8" x14ac:dyDescent="0.25"/>
    <row r="47" spans="2:8" x14ac:dyDescent="0.25"/>
    <row r="48" spans="2:8" x14ac:dyDescent="0.25"/>
    <row r="49" x14ac:dyDescent="0.25"/>
    <row r="50" x14ac:dyDescent="0.25"/>
    <row r="51" x14ac:dyDescent="0.25"/>
    <row r="52" x14ac:dyDescent="0.25"/>
  </sheetData>
  <sheetProtection algorithmName="SHA-512" hashValue="mLKjoF82ATA/Vz6g3TCvkBr4AVrreUfGvVoHWmX6mhw5wrFN7R5u+l4NNYjavwBiq2MlI1Obbazkdq3VkjkBbg==" saltValue="E7KxDd91wQwSWA6FQpNTNQ==" spinCount="100000" sheet="1" objects="1" scenarios="1"/>
  <mergeCells count="10">
    <mergeCell ref="C36:F36"/>
    <mergeCell ref="C31:F31"/>
    <mergeCell ref="E3:F3"/>
    <mergeCell ref="E4:F4"/>
    <mergeCell ref="E5:F5"/>
    <mergeCell ref="C6:F6"/>
    <mergeCell ref="C7:F7"/>
    <mergeCell ref="C32:F32"/>
    <mergeCell ref="C33:D33"/>
    <mergeCell ref="C34:D34"/>
  </mergeCells>
  <conditionalFormatting sqref="E30">
    <cfRule type="expression" dxfId="4" priority="7">
      <formula>E30&lt;&gt;""</formula>
    </cfRule>
  </conditionalFormatting>
  <conditionalFormatting sqref="E11">
    <cfRule type="expression" dxfId="3" priority="5">
      <formula>D11&lt;&gt;""</formula>
    </cfRule>
  </conditionalFormatting>
  <conditionalFormatting sqref="E12">
    <cfRule type="expression" dxfId="2" priority="3">
      <formula>D12&lt;&gt;""</formula>
    </cfRule>
  </conditionalFormatting>
  <conditionalFormatting sqref="E10">
    <cfRule type="expression" dxfId="1" priority="8">
      <formula>$D$11&lt;&gt;""</formula>
    </cfRule>
  </conditionalFormatting>
  <conditionalFormatting sqref="E33:E34">
    <cfRule type="expression" dxfId="0" priority="9">
      <formula>$C$33&lt;&gt;""</formula>
    </cfRule>
  </conditionalFormatting>
  <dataValidations count="5">
    <dataValidation type="list" allowBlank="1" showInputMessage="1" showErrorMessage="1" sqref="E10">
      <formula1>$O$1:$O$10</formula1>
    </dataValidation>
    <dataValidation type="list" allowBlank="1" showInputMessage="1" showErrorMessage="1" sqref="E14">
      <formula1>$P$1:$P$6</formula1>
    </dataValidation>
    <dataValidation type="list" allowBlank="1" showInputMessage="1" showErrorMessage="1" sqref="E11">
      <formula1>$L$2:$L$4</formula1>
    </dataValidation>
    <dataValidation type="list" allowBlank="1" showInputMessage="1" showErrorMessage="1" sqref="E12">
      <formula1>$M$2:$M$4</formula1>
    </dataValidation>
    <dataValidation type="list" allowBlank="1" showInputMessage="1" showErrorMessage="1" sqref="E8">
      <formula1>$K$1:$K$3</formula1>
    </dataValidation>
  </dataValidations>
  <pageMargins left="1" right="1" top="0.5" bottom="0.5" header="0.5" footer="0.5"/>
  <pageSetup scale="98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FundingCalculator</vt:lpstr>
      <vt:lpstr>FundingCalculator!Print_Area</vt:lpstr>
    </vt:vector>
  </TitlesOfParts>
  <Company>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J Taylor</dc:creator>
  <dc:description>Password:  G0ucdavis!
Hint: Zero not O</dc:description>
  <cp:lastModifiedBy>Emily Taylor</cp:lastModifiedBy>
  <cp:lastPrinted>2017-04-03T20:12:47Z</cp:lastPrinted>
  <dcterms:created xsi:type="dcterms:W3CDTF">2015-12-07T23:19:37Z</dcterms:created>
  <dcterms:modified xsi:type="dcterms:W3CDTF">2018-04-04T20:51:56Z</dcterms:modified>
</cp:coreProperties>
</file>